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one-my.sharepoint.com/personal/rachel_powers_danone_com/Documents/My Projects/Interactive Tool Updates &amp; Comparison Spreadsheets/FINAL Updated/PROTECTED Final Spreadsheets_PW Nutr14/"/>
    </mc:Choice>
  </mc:AlternateContent>
  <xr:revisionPtr revIDLastSave="11" documentId="8_{2464052A-2A58-421E-A1C4-45F6DD1097A4}" xr6:coauthVersionLast="47" xr6:coauthVersionMax="47" xr10:uidLastSave="{E8B8275D-8F15-4389-8C7C-483687A844BB}"/>
  <bookViews>
    <workbookView xWindow="-110" yWindow="-110" windowWidth="19420" windowHeight="10560" tabRatio="832" xr2:uid="{00000000-000D-0000-FFFF-FFFF00000000}"/>
  </bookViews>
  <sheets>
    <sheet name="Home" sheetId="1" r:id="rId1"/>
    <sheet name="DRIs HCU Anamix Early Yrs" sheetId="2" r:id="rId2"/>
    <sheet name="DRIs HCU Anamix Next" sheetId="3" r:id="rId3"/>
    <sheet name="Early Years to HCU Anamix Next" sheetId="6" r:id="rId4"/>
    <sheet name="Abbott Hominex-1 to Early Yrs" sheetId="11" r:id="rId5"/>
    <sheet name="Abbott Hominex-1 to Next" sheetId="16" r:id="rId6"/>
    <sheet name="MJ HCY 1 to Early Yrs" sheetId="17" r:id="rId7"/>
    <sheet name="MJ HCY 1 to Next" sheetId="1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6" l="1"/>
  <c r="K8" i="6"/>
  <c r="J8" i="6"/>
  <c r="I8" i="6"/>
  <c r="C7" i="16" l="1"/>
  <c r="L7" i="6"/>
  <c r="L9" i="6" s="1"/>
  <c r="K7" i="6"/>
  <c r="K9" i="6" s="1"/>
  <c r="J7" i="6"/>
  <c r="J9" i="6" s="1"/>
  <c r="I7" i="6"/>
  <c r="I9" i="6" s="1"/>
  <c r="C7" i="6" l="1"/>
  <c r="F23" i="18" l="1"/>
  <c r="E23" i="18"/>
  <c r="D23" i="18"/>
  <c r="C23" i="18"/>
  <c r="I15" i="18"/>
  <c r="H15" i="18"/>
  <c r="G15" i="18"/>
  <c r="F15" i="18"/>
  <c r="E15" i="18"/>
  <c r="D15" i="18"/>
  <c r="C15" i="18"/>
  <c r="L7" i="18"/>
  <c r="K7" i="18"/>
  <c r="J7" i="18"/>
  <c r="I7" i="18"/>
  <c r="H7" i="18"/>
  <c r="G7" i="18"/>
  <c r="F7" i="18"/>
  <c r="E7" i="18"/>
  <c r="D7" i="18"/>
  <c r="C7" i="18"/>
  <c r="F24" i="18"/>
  <c r="F26" i="18" s="1"/>
  <c r="E24" i="18"/>
  <c r="E26" i="18" s="1"/>
  <c r="D24" i="18"/>
  <c r="D26" i="18" s="1"/>
  <c r="C24" i="18"/>
  <c r="C26" i="18" s="1"/>
  <c r="I16" i="18"/>
  <c r="I18" i="18" s="1"/>
  <c r="H16" i="18"/>
  <c r="G16" i="18"/>
  <c r="G18" i="18" s="1"/>
  <c r="F16" i="18"/>
  <c r="F18" i="18" s="1"/>
  <c r="E16" i="18"/>
  <c r="E18" i="18" s="1"/>
  <c r="D16" i="18"/>
  <c r="C16" i="18"/>
  <c r="C18" i="18" s="1"/>
  <c r="L8" i="18"/>
  <c r="L10" i="18" s="1"/>
  <c r="K8" i="18"/>
  <c r="K10" i="18" s="1"/>
  <c r="J8" i="18"/>
  <c r="J10" i="18" s="1"/>
  <c r="I8" i="18"/>
  <c r="I10" i="18" s="1"/>
  <c r="H8" i="18"/>
  <c r="H10" i="18" s="1"/>
  <c r="G8" i="18"/>
  <c r="G10" i="18" s="1"/>
  <c r="F8" i="18"/>
  <c r="F10" i="18" s="1"/>
  <c r="E8" i="18"/>
  <c r="E10" i="18" s="1"/>
  <c r="D8" i="18"/>
  <c r="D10" i="18" s="1"/>
  <c r="C8" i="18"/>
  <c r="C10" i="18" s="1"/>
  <c r="F23" i="17"/>
  <c r="E23" i="17"/>
  <c r="D23" i="17"/>
  <c r="C23" i="17"/>
  <c r="C25" i="17" s="1"/>
  <c r="I15" i="17"/>
  <c r="I17" i="17" s="1"/>
  <c r="H15" i="17"/>
  <c r="H17" i="17" s="1"/>
  <c r="G15" i="17"/>
  <c r="F15" i="17"/>
  <c r="E15" i="17"/>
  <c r="D15" i="17"/>
  <c r="C15" i="17"/>
  <c r="C17" i="17" s="1"/>
  <c r="L7" i="17"/>
  <c r="L9" i="17" s="1"/>
  <c r="K7" i="17"/>
  <c r="K9" i="17" s="1"/>
  <c r="J7" i="17"/>
  <c r="J9" i="17" s="1"/>
  <c r="I7" i="17"/>
  <c r="H7" i="17"/>
  <c r="G7" i="17"/>
  <c r="F7" i="17"/>
  <c r="E7" i="17"/>
  <c r="E9" i="17" s="1"/>
  <c r="D7" i="17"/>
  <c r="D9" i="17" s="1"/>
  <c r="C7" i="17"/>
  <c r="C9" i="17" s="1"/>
  <c r="F24" i="17"/>
  <c r="F26" i="17" s="1"/>
  <c r="E24" i="17"/>
  <c r="E26" i="17" s="1"/>
  <c r="D24" i="17"/>
  <c r="D26" i="17" s="1"/>
  <c r="C24" i="17"/>
  <c r="C26" i="17" s="1"/>
  <c r="I16" i="17"/>
  <c r="I18" i="17" s="1"/>
  <c r="H16" i="17"/>
  <c r="H18" i="17" s="1"/>
  <c r="G16" i="17"/>
  <c r="G18" i="17" s="1"/>
  <c r="F16" i="17"/>
  <c r="F18" i="17" s="1"/>
  <c r="E16" i="17"/>
  <c r="E18" i="17" s="1"/>
  <c r="D16" i="17"/>
  <c r="D18" i="17" s="1"/>
  <c r="C16" i="17"/>
  <c r="C18" i="17" s="1"/>
  <c r="L8" i="17"/>
  <c r="L10" i="17" s="1"/>
  <c r="K8" i="17"/>
  <c r="K10" i="17" s="1"/>
  <c r="J8" i="17"/>
  <c r="J10" i="17" s="1"/>
  <c r="I8" i="17"/>
  <c r="I10" i="17" s="1"/>
  <c r="H8" i="17"/>
  <c r="H10" i="17" s="1"/>
  <c r="G8" i="17"/>
  <c r="G10" i="17" s="1"/>
  <c r="F8" i="17"/>
  <c r="F10" i="17" s="1"/>
  <c r="E8" i="17"/>
  <c r="E10" i="17" s="1"/>
  <c r="D8" i="17"/>
  <c r="D10" i="17" s="1"/>
  <c r="C8" i="17"/>
  <c r="C10" i="17" s="1"/>
  <c r="F24" i="16"/>
  <c r="F26" i="16" s="1"/>
  <c r="E24" i="16"/>
  <c r="E26" i="16" s="1"/>
  <c r="D24" i="16"/>
  <c r="D26" i="16" s="1"/>
  <c r="C24" i="16"/>
  <c r="C26" i="16" s="1"/>
  <c r="I16" i="16"/>
  <c r="I18" i="16" s="1"/>
  <c r="H16" i="16"/>
  <c r="H18" i="16" s="1"/>
  <c r="G16" i="16"/>
  <c r="G18" i="16" s="1"/>
  <c r="F16" i="16"/>
  <c r="F18" i="16" s="1"/>
  <c r="E16" i="16"/>
  <c r="E18" i="16" s="1"/>
  <c r="D16" i="16"/>
  <c r="D18" i="16" s="1"/>
  <c r="C16" i="16"/>
  <c r="C18" i="16" s="1"/>
  <c r="L8" i="16"/>
  <c r="L10" i="16" s="1"/>
  <c r="K8" i="16"/>
  <c r="K10" i="16" s="1"/>
  <c r="J8" i="16"/>
  <c r="J10" i="16" s="1"/>
  <c r="I8" i="16"/>
  <c r="I10" i="16" s="1"/>
  <c r="H8" i="16"/>
  <c r="H10" i="16" s="1"/>
  <c r="G8" i="16"/>
  <c r="G10" i="16" s="1"/>
  <c r="F8" i="16"/>
  <c r="F10" i="16" s="1"/>
  <c r="E8" i="16"/>
  <c r="E10" i="16" s="1"/>
  <c r="D8" i="16"/>
  <c r="D10" i="16" s="1"/>
  <c r="C8" i="16"/>
  <c r="C10" i="16" s="1"/>
  <c r="F23" i="16"/>
  <c r="E23" i="16"/>
  <c r="D23" i="16"/>
  <c r="C23" i="16"/>
  <c r="I15" i="16"/>
  <c r="H15" i="16"/>
  <c r="G15" i="16"/>
  <c r="F15" i="16"/>
  <c r="E15" i="16"/>
  <c r="D15" i="16"/>
  <c r="C15" i="16"/>
  <c r="L7" i="16"/>
  <c r="K7" i="16"/>
  <c r="J7" i="16"/>
  <c r="I7" i="16"/>
  <c r="H7" i="16"/>
  <c r="G7" i="16"/>
  <c r="F7" i="16"/>
  <c r="E7" i="16"/>
  <c r="D7" i="16"/>
  <c r="F17" i="18" l="1"/>
  <c r="H9" i="18"/>
  <c r="J9" i="16"/>
  <c r="D25" i="17"/>
  <c r="E9" i="18"/>
  <c r="C17" i="18"/>
  <c r="D25" i="18"/>
  <c r="F9" i="18"/>
  <c r="D17" i="18"/>
  <c r="E25" i="18"/>
  <c r="G9" i="18"/>
  <c r="E17" i="18"/>
  <c r="F25" i="18"/>
  <c r="I9" i="18"/>
  <c r="G17" i="18"/>
  <c r="J9" i="18"/>
  <c r="C9" i="18"/>
  <c r="K9" i="18"/>
  <c r="I17" i="18"/>
  <c r="H17" i="18"/>
  <c r="D9" i="18"/>
  <c r="L9" i="18"/>
  <c r="C25" i="18"/>
  <c r="F9" i="17"/>
  <c r="D17" i="17"/>
  <c r="E25" i="17"/>
  <c r="G9" i="17"/>
  <c r="E17" i="17"/>
  <c r="F25" i="17"/>
  <c r="H9" i="17"/>
  <c r="F17" i="17"/>
  <c r="I9" i="17"/>
  <c r="G17" i="17"/>
  <c r="H17" i="16"/>
  <c r="D9" i="16"/>
  <c r="L9" i="16"/>
  <c r="C25" i="16"/>
  <c r="E9" i="16"/>
  <c r="F9" i="16"/>
  <c r="D17" i="16"/>
  <c r="E25" i="16"/>
  <c r="H9" i="16"/>
  <c r="F17" i="16"/>
  <c r="D18" i="18"/>
  <c r="H18" i="18"/>
  <c r="I9" i="16"/>
  <c r="C9" i="16"/>
  <c r="G9" i="16"/>
  <c r="K9" i="16"/>
  <c r="E17" i="16"/>
  <c r="I17" i="16"/>
  <c r="F25" i="16"/>
  <c r="C17" i="16"/>
  <c r="G17" i="16"/>
  <c r="D25" i="16"/>
  <c r="H15" i="6"/>
  <c r="G15" i="6"/>
  <c r="F15" i="6"/>
  <c r="E15" i="6"/>
  <c r="D15" i="6"/>
  <c r="C15" i="6"/>
  <c r="H14" i="6"/>
  <c r="G14" i="6"/>
  <c r="F14" i="6"/>
  <c r="E14" i="6"/>
  <c r="D14" i="6"/>
  <c r="C14" i="6"/>
  <c r="G16" i="6" l="1"/>
  <c r="E16" i="6"/>
  <c r="D16" i="6"/>
  <c r="H16" i="6"/>
  <c r="F16" i="6"/>
  <c r="C16" i="6"/>
  <c r="B11" i="3" l="1"/>
  <c r="B10" i="3"/>
  <c r="B9" i="3"/>
  <c r="F23" i="11" l="1"/>
  <c r="E23" i="11"/>
  <c r="D23" i="11"/>
  <c r="C23" i="11"/>
  <c r="I15" i="11"/>
  <c r="H15" i="11"/>
  <c r="H17" i="11" s="1"/>
  <c r="G15" i="11"/>
  <c r="F15" i="11"/>
  <c r="E15" i="11"/>
  <c r="D15" i="11"/>
  <c r="C15" i="11"/>
  <c r="L7" i="11"/>
  <c r="K7" i="11"/>
  <c r="J7" i="11"/>
  <c r="I7" i="11"/>
  <c r="H7" i="11"/>
  <c r="G7" i="11"/>
  <c r="F7" i="11"/>
  <c r="E7" i="11"/>
  <c r="D7" i="11"/>
  <c r="C7" i="11"/>
  <c r="F24" i="11"/>
  <c r="F26" i="11" s="1"/>
  <c r="E24" i="11"/>
  <c r="E26" i="11" s="1"/>
  <c r="D24" i="11"/>
  <c r="D26" i="11" s="1"/>
  <c r="C24" i="11"/>
  <c r="C26" i="11" s="1"/>
  <c r="I16" i="11"/>
  <c r="I18" i="11" s="1"/>
  <c r="H16" i="11"/>
  <c r="H18" i="11" s="1"/>
  <c r="G16" i="11"/>
  <c r="G18" i="11" s="1"/>
  <c r="F16" i="11"/>
  <c r="F18" i="11" s="1"/>
  <c r="E16" i="11"/>
  <c r="E18" i="11" s="1"/>
  <c r="D16" i="11"/>
  <c r="D18" i="11" s="1"/>
  <c r="C16" i="11"/>
  <c r="C18" i="11" s="1"/>
  <c r="L8" i="11"/>
  <c r="L10" i="11" s="1"/>
  <c r="K8" i="11"/>
  <c r="K10" i="11" s="1"/>
  <c r="J8" i="11"/>
  <c r="J10" i="11" s="1"/>
  <c r="I8" i="11"/>
  <c r="I10" i="11" s="1"/>
  <c r="H8" i="11"/>
  <c r="H10" i="11" s="1"/>
  <c r="G8" i="11"/>
  <c r="G10" i="11" s="1"/>
  <c r="F8" i="11"/>
  <c r="F10" i="11" s="1"/>
  <c r="E8" i="11"/>
  <c r="E10" i="11" s="1"/>
  <c r="D8" i="11"/>
  <c r="D10" i="11" s="1"/>
  <c r="C8" i="11"/>
  <c r="C10" i="11" s="1"/>
  <c r="E25" i="11" l="1"/>
  <c r="J9" i="11"/>
  <c r="F9" i="11"/>
  <c r="D17" i="11"/>
  <c r="C9" i="11"/>
  <c r="G9" i="11"/>
  <c r="K9" i="11"/>
  <c r="E17" i="11"/>
  <c r="I17" i="11"/>
  <c r="F25" i="11"/>
  <c r="D9" i="11"/>
  <c r="H9" i="11"/>
  <c r="L9" i="11"/>
  <c r="F17" i="11"/>
  <c r="C25" i="11"/>
  <c r="E9" i="11"/>
  <c r="I9" i="11"/>
  <c r="C17" i="11"/>
  <c r="G17" i="11"/>
  <c r="D25" i="11"/>
  <c r="B4" i="2"/>
  <c r="B5" i="2" l="1"/>
  <c r="B22" i="2"/>
  <c r="H22" i="2" s="1"/>
  <c r="B13" i="2"/>
  <c r="B12" i="2"/>
  <c r="B26" i="2"/>
  <c r="H26" i="2" s="1"/>
  <c r="B6" i="2"/>
  <c r="B47" i="2"/>
  <c r="H47" i="2" s="1"/>
  <c r="B46" i="2"/>
  <c r="H46" i="2" s="1"/>
  <c r="B45" i="2"/>
  <c r="H45" i="2" s="1"/>
  <c r="B44" i="2"/>
  <c r="H44" i="2" s="1"/>
  <c r="B43" i="2"/>
  <c r="H43" i="2" s="1"/>
  <c r="B42" i="2"/>
  <c r="H42" i="2" s="1"/>
  <c r="B41" i="2"/>
  <c r="H41" i="2" s="1"/>
  <c r="B40" i="2"/>
  <c r="H40" i="2" s="1"/>
  <c r="B39" i="2"/>
  <c r="H39" i="2" s="1"/>
  <c r="B38" i="2"/>
  <c r="H38" i="2" s="1"/>
  <c r="B37" i="2"/>
  <c r="H37" i="2" s="1"/>
  <c r="B36" i="2"/>
  <c r="H36" i="2" s="1"/>
  <c r="B35" i="2"/>
  <c r="H35" i="2" s="1"/>
  <c r="B34" i="2"/>
  <c r="H34" i="2" s="1"/>
  <c r="B32" i="2"/>
  <c r="B31" i="2"/>
  <c r="H31" i="2" s="1"/>
  <c r="B30" i="2"/>
  <c r="H30" i="2" s="1"/>
  <c r="B29" i="2"/>
  <c r="H29" i="2" s="1"/>
  <c r="B28" i="2"/>
  <c r="H28" i="2" s="1"/>
  <c r="B27" i="2"/>
  <c r="H27" i="2" s="1"/>
  <c r="B25" i="2"/>
  <c r="H25" i="2" s="1"/>
  <c r="B24" i="2"/>
  <c r="H24" i="2" s="1"/>
  <c r="B23" i="2"/>
  <c r="H23" i="2" s="1"/>
  <c r="B21" i="2"/>
  <c r="H21" i="2" s="1"/>
  <c r="B20" i="2"/>
  <c r="H20" i="2" s="1"/>
  <c r="B19" i="2"/>
  <c r="H19" i="2" s="1"/>
  <c r="B18" i="2"/>
  <c r="H18" i="2" s="1"/>
  <c r="B16" i="2"/>
  <c r="H16" i="2" s="1"/>
  <c r="B15" i="2"/>
  <c r="H15" i="2" s="1"/>
  <c r="B14" i="2"/>
  <c r="H14" i="2" s="1"/>
  <c r="B11" i="2"/>
  <c r="B10" i="2"/>
  <c r="B9" i="2"/>
  <c r="B8" i="2"/>
  <c r="B7" i="2"/>
  <c r="H7" i="2" s="1"/>
  <c r="D7" i="2" l="1"/>
  <c r="F7" i="2" l="1"/>
  <c r="F45" i="2"/>
  <c r="D45" i="2"/>
  <c r="F41" i="2" l="1"/>
  <c r="D41" i="2"/>
  <c r="F22" i="2"/>
  <c r="D22" i="2"/>
  <c r="D31" i="2"/>
  <c r="F31" i="2"/>
  <c r="F35" i="2"/>
  <c r="D35" i="2"/>
  <c r="F20" i="2"/>
  <c r="D20" i="2"/>
  <c r="F36" i="2"/>
  <c r="D36" i="2"/>
  <c r="D14" i="2"/>
  <c r="F14" i="2"/>
  <c r="D23" i="2"/>
  <c r="F23" i="2"/>
  <c r="F37" i="2"/>
  <c r="D37" i="2"/>
  <c r="F18" i="2"/>
  <c r="D18" i="2"/>
  <c r="D46" i="2"/>
  <c r="F46" i="2"/>
  <c r="F47" i="2"/>
  <c r="D47" i="2"/>
  <c r="F15" i="2"/>
  <c r="D15" i="2"/>
  <c r="F29" i="2"/>
  <c r="D29" i="2"/>
  <c r="D19" i="2"/>
  <c r="F19" i="2"/>
  <c r="F30" i="2"/>
  <c r="D30" i="2"/>
  <c r="D38" i="2"/>
  <c r="F38" i="2"/>
  <c r="F43" i="2"/>
  <c r="D43" i="2"/>
  <c r="F28" i="2"/>
  <c r="D28" i="2"/>
  <c r="F44" i="2"/>
  <c r="D44" i="2"/>
  <c r="D25" i="2"/>
  <c r="F25" i="2"/>
  <c r="D42" i="2"/>
  <c r="F42" i="2"/>
  <c r="F26" i="2"/>
  <c r="D26" i="2"/>
  <c r="F8" i="2"/>
  <c r="D8" i="2"/>
  <c r="D34" i="2"/>
  <c r="F34" i="2"/>
  <c r="F39" i="2"/>
  <c r="D39" i="2"/>
  <c r="F24" i="2"/>
  <c r="D24" i="2"/>
  <c r="D40" i="2"/>
  <c r="F40" i="2"/>
  <c r="D21" i="2"/>
  <c r="F21" i="2"/>
  <c r="D27" i="2"/>
  <c r="F27" i="2"/>
  <c r="F21" i="6"/>
  <c r="E21" i="6"/>
  <c r="D21" i="6"/>
  <c r="C21" i="6"/>
  <c r="H7" i="6"/>
  <c r="G7" i="6"/>
  <c r="F7" i="6"/>
  <c r="E7" i="6"/>
  <c r="D7" i="6"/>
  <c r="F22" i="6"/>
  <c r="E22" i="6"/>
  <c r="D22" i="6"/>
  <c r="C22" i="6"/>
  <c r="H8" i="6"/>
  <c r="G8" i="6"/>
  <c r="F8" i="6"/>
  <c r="E8" i="6"/>
  <c r="D8" i="6"/>
  <c r="C8" i="6"/>
  <c r="B7" i="3"/>
  <c r="F7" i="3" s="1"/>
  <c r="B4" i="3"/>
  <c r="B22" i="3" s="1"/>
  <c r="H9" i="6" l="1"/>
  <c r="D23" i="6"/>
  <c r="D9" i="6"/>
  <c r="E9" i="6"/>
  <c r="F9" i="6"/>
  <c r="E23" i="6"/>
  <c r="C23" i="6"/>
  <c r="C9" i="6"/>
  <c r="G9" i="6"/>
  <c r="F23" i="6"/>
  <c r="B35" i="3"/>
  <c r="H35" i="3" s="1"/>
  <c r="B5" i="3"/>
  <c r="H7" i="3"/>
  <c r="B46" i="3"/>
  <c r="F46" i="3" s="1"/>
  <c r="B26" i="3"/>
  <c r="H26" i="3" s="1"/>
  <c r="B41" i="3"/>
  <c r="D41" i="3" s="1"/>
  <c r="H22" i="3"/>
  <c r="B15" i="3"/>
  <c r="D7" i="3"/>
  <c r="B28" i="3"/>
  <c r="D28" i="3" s="1"/>
  <c r="B24" i="3"/>
  <c r="J24" i="3" s="1"/>
  <c r="B37" i="3"/>
  <c r="H37" i="3" s="1"/>
  <c r="B6" i="3"/>
  <c r="B8" i="3"/>
  <c r="B20" i="3"/>
  <c r="J20" i="3" s="1"/>
  <c r="B30" i="3"/>
  <c r="H30" i="3" s="1"/>
  <c r="B43" i="3"/>
  <c r="H43" i="3" s="1"/>
  <c r="B18" i="3"/>
  <c r="H18" i="3" s="1"/>
  <c r="B47" i="3"/>
  <c r="H47" i="3" s="1"/>
  <c r="B13" i="3"/>
  <c r="H13" i="3" s="1"/>
  <c r="B32" i="3"/>
  <c r="B39" i="3"/>
  <c r="H39" i="3" s="1"/>
  <c r="B45" i="3"/>
  <c r="J7" i="3"/>
  <c r="B14" i="3"/>
  <c r="B19" i="3"/>
  <c r="B23" i="3"/>
  <c r="B27" i="3"/>
  <c r="B31" i="3"/>
  <c r="B36" i="3"/>
  <c r="B40" i="3"/>
  <c r="B44" i="3"/>
  <c r="B12" i="3"/>
  <c r="B16" i="3"/>
  <c r="B21" i="3"/>
  <c r="B25" i="3"/>
  <c r="B29" i="3"/>
  <c r="B34" i="3"/>
  <c r="B38" i="3"/>
  <c r="B42" i="3"/>
  <c r="F35" i="3" l="1"/>
  <c r="D35" i="3"/>
  <c r="J35" i="3"/>
  <c r="H41" i="3"/>
  <c r="H46" i="3"/>
  <c r="J46" i="3"/>
  <c r="F22" i="3"/>
  <c r="H24" i="3"/>
  <c r="D22" i="3"/>
  <c r="D46" i="3"/>
  <c r="J18" i="3"/>
  <c r="J41" i="3"/>
  <c r="F13" i="3"/>
  <c r="H28" i="3"/>
  <c r="F41" i="3"/>
  <c r="J28" i="3"/>
  <c r="F28" i="3"/>
  <c r="F43" i="3"/>
  <c r="D43" i="3"/>
  <c r="J13" i="3"/>
  <c r="J22" i="3"/>
  <c r="F39" i="3"/>
  <c r="J30" i="3"/>
  <c r="J37" i="3"/>
  <c r="H20" i="3"/>
  <c r="F47" i="3"/>
  <c r="D39" i="3"/>
  <c r="D47" i="3"/>
  <c r="J47" i="3"/>
  <c r="J39" i="3"/>
  <c r="F30" i="3"/>
  <c r="D30" i="3"/>
  <c r="D24" i="3"/>
  <c r="F24" i="3"/>
  <c r="D18" i="3"/>
  <c r="D45" i="3"/>
  <c r="F45" i="3"/>
  <c r="H45" i="3"/>
  <c r="J43" i="3"/>
  <c r="J26" i="3"/>
  <c r="J45" i="3"/>
  <c r="F26" i="3"/>
  <c r="F18" i="3"/>
  <c r="D26" i="3"/>
  <c r="D13" i="3"/>
  <c r="D20" i="3"/>
  <c r="F20" i="3"/>
  <c r="D37" i="3"/>
  <c r="F37" i="3"/>
  <c r="J42" i="3"/>
  <c r="H42" i="3"/>
  <c r="F42" i="3"/>
  <c r="D42" i="3"/>
  <c r="F40" i="3"/>
  <c r="D40" i="3"/>
  <c r="J40" i="3"/>
  <c r="H40" i="3"/>
  <c r="F27" i="3"/>
  <c r="D27" i="3"/>
  <c r="J27" i="3"/>
  <c r="H27" i="3"/>
  <c r="F14" i="3"/>
  <c r="D14" i="3"/>
  <c r="J14" i="3"/>
  <c r="H14" i="3"/>
  <c r="J38" i="3"/>
  <c r="H38" i="3"/>
  <c r="F38" i="3"/>
  <c r="D38" i="3"/>
  <c r="J21" i="3"/>
  <c r="H21" i="3"/>
  <c r="F21" i="3"/>
  <c r="D21" i="3"/>
  <c r="F44" i="3"/>
  <c r="D44" i="3"/>
  <c r="J44" i="3"/>
  <c r="H44" i="3"/>
  <c r="F31" i="3"/>
  <c r="D31" i="3"/>
  <c r="J31" i="3"/>
  <c r="H31" i="3"/>
  <c r="J34" i="3"/>
  <c r="H34" i="3"/>
  <c r="F34" i="3"/>
  <c r="D34" i="3"/>
  <c r="F19" i="3"/>
  <c r="D19" i="3"/>
  <c r="J19" i="3"/>
  <c r="H19" i="3"/>
  <c r="J25" i="3"/>
  <c r="H25" i="3"/>
  <c r="F25" i="3"/>
  <c r="D25" i="3"/>
  <c r="J29" i="3"/>
  <c r="H29" i="3"/>
  <c r="F29" i="3"/>
  <c r="D29" i="3"/>
  <c r="F36" i="3"/>
  <c r="D36" i="3"/>
  <c r="J36" i="3"/>
  <c r="H36" i="3"/>
  <c r="F23" i="3"/>
  <c r="D23" i="3"/>
  <c r="J23" i="3"/>
  <c r="H23" i="3"/>
</calcChain>
</file>

<file path=xl/sharedStrings.xml><?xml version="1.0" encoding="utf-8"?>
<sst xmlns="http://schemas.openxmlformats.org/spreadsheetml/2006/main" count="382" uniqueCount="115">
  <si>
    <t>Patient's Name:</t>
  </si>
  <si>
    <t xml:space="preserve"> </t>
  </si>
  <si>
    <t>Product, g</t>
  </si>
  <si>
    <t xml:space="preserve">Calories </t>
  </si>
  <si>
    <t>Protein Equivalent, g</t>
  </si>
  <si>
    <t>Fat, g</t>
  </si>
  <si>
    <t>Carbohydrate, g</t>
  </si>
  <si>
    <t>VITAMINS</t>
  </si>
  <si>
    <t>Vit A, mcg</t>
  </si>
  <si>
    <t>Vit D, mcg</t>
  </si>
  <si>
    <t>Vit E, mg</t>
  </si>
  <si>
    <t>Vit K, mcg</t>
  </si>
  <si>
    <t>Thiamin, mg</t>
  </si>
  <si>
    <t>Riboflavin, mg</t>
  </si>
  <si>
    <t>Vit B6, mg</t>
  </si>
  <si>
    <t>Vit B12, mcg</t>
  </si>
  <si>
    <t>Folic Acid, mcg</t>
  </si>
  <si>
    <t>Pantothenic Acid, mg</t>
  </si>
  <si>
    <t>Biotin, mcg</t>
  </si>
  <si>
    <t>Vit C, mg</t>
  </si>
  <si>
    <t>Choline, mg</t>
  </si>
  <si>
    <t>Inositol, mg</t>
  </si>
  <si>
    <t>N/A</t>
  </si>
  <si>
    <t xml:space="preserve">MINERALS </t>
  </si>
  <si>
    <t>Calcium, mg</t>
  </si>
  <si>
    <t>Phosphorus, mg</t>
  </si>
  <si>
    <t>Magnesium, mg</t>
  </si>
  <si>
    <t>Iron, mg</t>
  </si>
  <si>
    <t>Zinc, mg</t>
  </si>
  <si>
    <t>Manganese, mg</t>
  </si>
  <si>
    <t>Copper, mcg</t>
  </si>
  <si>
    <t>Iodine, mcg</t>
  </si>
  <si>
    <t>Molybdenum, mcg</t>
  </si>
  <si>
    <t>Chromium, mcg</t>
  </si>
  <si>
    <t>Selenium, mcg</t>
  </si>
  <si>
    <t>Sodium, mg</t>
  </si>
  <si>
    <t>Potassium, mg</t>
  </si>
  <si>
    <t>Chloride, mg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</si>
  <si>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</si>
  <si>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</si>
  <si>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</si>
  <si>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</si>
  <si>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</si>
  <si>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</si>
  <si>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</si>
  <si>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</si>
  <si>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</si>
  <si>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</si>
  <si>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 xml:space="preserve">  Fiber, g</t>
  </si>
  <si>
    <t>7 Step Transition</t>
  </si>
  <si>
    <t>4 Step Transition</t>
  </si>
  <si>
    <t>Calories</t>
  </si>
  <si>
    <t>MINERALS</t>
  </si>
  <si>
    <t xml:space="preserve">  Saturated Fat, g</t>
  </si>
  <si>
    <t xml:space="preserve">  Monounsaturated Fat, g</t>
  </si>
  <si>
    <t xml:space="preserve">  Polyunsaturated Fat, g</t>
  </si>
  <si>
    <t>Niacin, mg</t>
  </si>
  <si>
    <t>DRI 1-3 years</t>
  </si>
  <si>
    <t>% DRI 
0-6 months</t>
  </si>
  <si>
    <t>% DRI 
7-12 months</t>
  </si>
  <si>
    <t>% DRI 
1-3 years</t>
  </si>
  <si>
    <t>Protein equivalent RDAs are based on g protein per kg body weight using reference body weights.</t>
  </si>
  <si>
    <r>
      <rPr>
        <sz val="11"/>
        <color indexed="8"/>
        <rFont val="Calibri"/>
        <family val="2"/>
      </rPr>
      <t xml:space="preserve">DRI values presented here are adapted from the </t>
    </r>
    <r>
      <rPr>
        <i/>
        <sz val="11"/>
        <color indexed="8"/>
        <rFont val="Calibri"/>
        <family val="2"/>
      </rPr>
      <t>Dietary Reference Intakes</t>
    </r>
    <r>
      <rPr>
        <sz val="11"/>
        <color indexed="8"/>
        <rFont val="Calibri"/>
        <family val="2"/>
      </rPr>
      <t xml:space="preserve"> series, by the National Academies of Sciences of the Institute of Medicine. </t>
    </r>
  </si>
  <si>
    <r>
      <t xml:space="preserve">Recommended Dietary Allowances (RDAs) are values shown in </t>
    </r>
    <r>
      <rPr>
        <b/>
        <i/>
        <sz val="11"/>
        <color indexed="8"/>
        <rFont val="Calibri"/>
        <family val="2"/>
      </rPr>
      <t>bold, italicized type</t>
    </r>
    <r>
      <rPr>
        <sz val="11"/>
        <color indexed="8"/>
        <rFont val="Calibri"/>
        <family val="2"/>
      </rPr>
      <t xml:space="preserve"> and Adequate Intakes (AIs) are values shown in</t>
    </r>
    <r>
      <rPr>
        <i/>
        <sz val="11"/>
        <color indexed="8"/>
        <rFont val="Calibri"/>
        <family val="2"/>
      </rPr>
      <t xml:space="preserve"> italicized type</t>
    </r>
    <r>
      <rPr>
        <sz val="11"/>
        <color indexed="8"/>
        <rFont val="Calibri"/>
        <family val="2"/>
      </rPr>
      <t>.</t>
    </r>
  </si>
  <si>
    <r>
      <rPr>
        <b/>
        <sz val="11"/>
        <rFont val="Calibri"/>
        <family val="2"/>
        <scheme val="minor"/>
      </rPr>
      <t>Enter the grams of</t>
    </r>
    <r>
      <rPr>
        <b/>
        <sz val="10"/>
        <rFont val="Calibri"/>
        <family val="2"/>
        <scheme val="minor"/>
      </rPr>
      <t xml:space="preserve"> </t>
    </r>
    <r>
      <rPr>
        <b/>
        <sz val="12"/>
        <color rgb="FF00B050"/>
        <rFont val="Calibri"/>
        <family val="2"/>
        <scheme val="minor"/>
      </rPr>
      <t>Protein Equivalents</t>
    </r>
    <r>
      <rPr>
        <b/>
        <sz val="1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needed in the yellow box (cell B3) and press Enter.</t>
    </r>
  </si>
  <si>
    <t xml:space="preserve">       DHA, mg</t>
  </si>
  <si>
    <t xml:space="preserve">       ARA, mg</t>
  </si>
  <si>
    <t xml:space="preserve">       Linoleic Acid, mg</t>
  </si>
  <si>
    <r>
      <t xml:space="preserve">     </t>
    </r>
    <r>
      <rPr>
        <sz val="11"/>
        <color rgb="FF000000"/>
        <rFont val="Calibri"/>
        <family val="2"/>
        <scheme val="minor"/>
      </rPr>
      <t xml:space="preserve"> Scoops (5 g each)</t>
    </r>
  </si>
  <si>
    <t xml:space="preserve">   Saturated Fat, g</t>
  </si>
  <si>
    <t xml:space="preserve">   Monounsaturated Fat, g</t>
  </si>
  <si>
    <t xml:space="preserve">   Polyunsaturated Fat, g</t>
  </si>
  <si>
    <t xml:space="preserve">      DHA, mg</t>
  </si>
  <si>
    <t xml:space="preserve">   Fiber, g</t>
  </si>
  <si>
    <t xml:space="preserve">      Soluble, g</t>
  </si>
  <si>
    <t xml:space="preserve">      Insoluble, g</t>
  </si>
  <si>
    <t>DRI 
1-3 years</t>
  </si>
  <si>
    <t>DRI 
4-8 years</t>
  </si>
  <si>
    <t>% DRI 
4-8 years</t>
  </si>
  <si>
    <t>DRI 
9-13 years
(M)</t>
  </si>
  <si>
    <t>% DRI 
9-13 years 
(M)</t>
  </si>
  <si>
    <t>DRI 
9-13 years 
(F)</t>
  </si>
  <si>
    <t>% DRI 
9-13 years 
(F)</t>
  </si>
  <si>
    <t xml:space="preserve">   Scoops (9 g each)</t>
  </si>
  <si>
    <t>DRI 
0-6 months</t>
  </si>
  <si>
    <t>DRI 
7-12 months</t>
  </si>
  <si>
    <t>10 Step Transition</t>
  </si>
  <si>
    <t>10 Step
Transition Guide</t>
  </si>
  <si>
    <t>4 Step 
Transition Guide</t>
  </si>
  <si>
    <t>6 Step 
Transition Guide</t>
  </si>
  <si>
    <t>Total Calories</t>
  </si>
  <si>
    <t>6 Step Transition</t>
  </si>
  <si>
    <r>
      <t xml:space="preserve">Type the grams of </t>
    </r>
    <r>
      <rPr>
        <b/>
        <sz val="11"/>
        <color indexed="17"/>
        <rFont val="Arial"/>
        <family val="2"/>
      </rPr>
      <t>Protein Equivalents</t>
    </r>
    <r>
      <rPr>
        <b/>
        <sz val="11"/>
        <rFont val="Arial"/>
        <family val="2"/>
      </rPr>
      <t xml:space="preserve"> needed in the YELLOW box (cell A2) and press Enter.</t>
    </r>
  </si>
  <si>
    <t>10 Step 
Transition Guide</t>
  </si>
  <si>
    <t>7 Step 
Transition Guide</t>
  </si>
  <si>
    <r>
      <rPr>
        <b/>
        <sz val="18"/>
        <color rgb="FF000000"/>
        <rFont val="Arial Rounded MT Bold"/>
        <family val="2"/>
      </rPr>
      <t>Welcome to the HCU Anamix</t>
    </r>
    <r>
      <rPr>
        <b/>
        <vertAlign val="superscript"/>
        <sz val="18"/>
        <color rgb="FF000000"/>
        <rFont val="Arial Rounded MT Bold"/>
        <family val="2"/>
      </rPr>
      <t>®</t>
    </r>
    <r>
      <rPr>
        <b/>
        <sz val="18"/>
        <color rgb="FF000000"/>
        <rFont val="Arial Rounded MT Bold"/>
        <family val="2"/>
      </rPr>
      <t xml:space="preserve"> Interactive Tool</t>
    </r>
    <r>
      <rPr>
        <sz val="12"/>
        <color indexed="8"/>
        <rFont val="Arial Rounded MT Bold"/>
        <family val="2"/>
      </rPr>
      <t xml:space="preserve">
</t>
    </r>
    <r>
      <rPr>
        <sz val="12"/>
        <color indexed="8"/>
        <rFont val="Calibri"/>
        <family val="2"/>
        <scheme val="minor"/>
      </rPr>
      <t xml:space="preserve">Our Medical Affairs team developed these worksheets to aid in transitioning your patients throughout the Nutricia product portfolio.
</t>
    </r>
    <r>
      <rPr>
        <i/>
        <sz val="12"/>
        <color indexed="8"/>
        <rFont val="Calibri"/>
        <family val="2"/>
        <scheme val="minor"/>
      </rPr>
      <t xml:space="preserve">
</t>
    </r>
    <r>
      <rPr>
        <i/>
        <sz val="12"/>
        <color indexed="36"/>
        <rFont val="Calibri"/>
        <family val="2"/>
        <scheme val="minor"/>
      </rPr>
      <t xml:space="preserve">Nutricia North America kindly requests that this calculator not be shared with anyone who is not a licensed or certified healthcare provider. </t>
    </r>
  </si>
  <si>
    <t>Hominex®-1 is a registered trademark of Abbott Laboratories Inc. and is not affiliated with Nutricia North America.</t>
  </si>
  <si>
    <r>
      <rPr>
        <b/>
        <sz val="18"/>
        <rFont val="Calibri"/>
        <family val="2"/>
        <scheme val="minor"/>
      </rPr>
      <t>HCU Anamix® Early Years DRI Calculator</t>
    </r>
    <r>
      <rPr>
        <b/>
        <sz val="16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>For Healthcare Professionals</t>
    </r>
  </si>
  <si>
    <r>
      <rPr>
        <b/>
        <sz val="20"/>
        <rFont val="Calibri"/>
        <family val="2"/>
        <scheme val="minor"/>
      </rPr>
      <t>HCU Anamix® Next DRI Calculator</t>
    </r>
    <r>
      <rPr>
        <sz val="14"/>
        <rFont val="Calibri"/>
        <family val="2"/>
        <scheme val="minor"/>
      </rPr>
      <t xml:space="preserve">
For Healthcare Professionals </t>
    </r>
  </si>
  <si>
    <r>
      <t>Step-by-Step Transition from
HCU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Early Years to 
HCU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Next!</t>
    </r>
  </si>
  <si>
    <r>
      <t>Step-by-Step Transition 
from Abbott's Hominex</t>
    </r>
    <r>
      <rPr>
        <sz val="16"/>
        <color theme="1"/>
        <rFont val="Calibri"/>
        <family val="2"/>
      </rPr>
      <t>®</t>
    </r>
    <r>
      <rPr>
        <sz val="16"/>
        <color theme="1"/>
        <rFont val="Arial Rounded MT Bold"/>
        <family val="2"/>
      </rPr>
      <t>-1</t>
    </r>
    <r>
      <rPr>
        <sz val="16"/>
        <color indexed="8"/>
        <rFont val="Arial Rounded MT Bold"/>
        <family val="2"/>
      </rPr>
      <t xml:space="preserve"> to
Nutricia's HCU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Early Years</t>
    </r>
  </si>
  <si>
    <r>
      <t>Step-by-Step Transition 
from Abbott's Hominex</t>
    </r>
    <r>
      <rPr>
        <sz val="16"/>
        <color theme="1"/>
        <rFont val="Calibri"/>
        <family val="2"/>
      </rPr>
      <t>®</t>
    </r>
    <r>
      <rPr>
        <sz val="16"/>
        <color theme="1"/>
        <rFont val="Arial Rounded MT Bold"/>
        <family val="2"/>
      </rPr>
      <t>-1</t>
    </r>
    <r>
      <rPr>
        <sz val="16"/>
        <color indexed="8"/>
        <rFont val="Arial Rounded MT Bold"/>
        <family val="2"/>
      </rPr>
      <t xml:space="preserve"> to
Nutricia's HCU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Next</t>
    </r>
  </si>
  <si>
    <t>Anamix Early Years, g</t>
  </si>
  <si>
    <t>Anamix Next, g</t>
  </si>
  <si>
    <t>Hominex-1, g</t>
  </si>
  <si>
    <t>HCY 1, g</t>
  </si>
  <si>
    <t>©2023 Nutricia North America. All Rights Reserved.</t>
  </si>
  <si>
    <t>HCY 1 is a product of Mead Johnson &amp; Company, LLC and is not affiliated with Nutricia North America. https://www.enfamil.com/products/hcy-1-metabolic-powder/. Accessed February 2023.</t>
  </si>
  <si>
    <t>Hominex®-1 is a registered trademark of Abbott Laboratories Inc. and is not affiliated with Nutricia North America. https://www.abbottnutrition.com/our-products/hominex-1. Accessed February 2023.</t>
  </si>
  <si>
    <t>HCY 1 is a product of Mead Johnson &amp; Company, LLC and is not affiliated with Nutricia North America.</t>
  </si>
  <si>
    <t>HCU Anamix® Early Years is a medical food in the U.S. and a specialized formula in Canada for the dietary management of homocystinuria (HCU) in infants and young children. Must be used under medical supervision.</t>
  </si>
  <si>
    <t>HCU Anamix® Next is a medical food in the U.S. and a specialized formula in Canada for the dietary management of homocystinuria (HCU) in individuals over 1 year of age and must be used under medical supervision.</t>
  </si>
  <si>
    <t>HCU Anamix® Early Years and HCU Anamix® Next are medical foods in the U.S. and specialized formulas in Canada for the dietary management of homocystinuria (HCU) and must be used under medical supervision.</t>
  </si>
  <si>
    <r>
      <t>Step-by-Step Transition 
from Mead Johnson's HCY</t>
    </r>
    <r>
      <rPr>
        <sz val="16"/>
        <color theme="1"/>
        <rFont val="Calibri"/>
        <family val="2"/>
      </rPr>
      <t xml:space="preserve"> </t>
    </r>
    <r>
      <rPr>
        <sz val="16"/>
        <color theme="1"/>
        <rFont val="Arial Rounded MT Bold"/>
        <family val="2"/>
      </rPr>
      <t>1</t>
    </r>
    <r>
      <rPr>
        <sz val="16"/>
        <color indexed="8"/>
        <rFont val="Arial Rounded MT Bold"/>
        <family val="2"/>
      </rPr>
      <t xml:space="preserve">
to Nutricia's HCU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Early Years</t>
    </r>
  </si>
  <si>
    <r>
      <t>Step-by-Step Transition 
from Mead Johnson's HCY 1</t>
    </r>
    <r>
      <rPr>
        <sz val="16"/>
        <color indexed="8"/>
        <rFont val="Arial Rounded MT Bold"/>
        <family val="2"/>
      </rPr>
      <t xml:space="preserve">
to Nutricia's HCU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Next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</si>
</sst>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sz val="8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Arial Rounded MT Bold"/>
      <family val="2"/>
    </font>
    <font>
      <sz val="12"/>
      <color indexed="8"/>
      <name val="Arial Rounded MT Bold"/>
      <family val="2"/>
    </font>
    <font>
      <sz val="11"/>
      <color rgb="FF7030A0"/>
      <name val="Calibri"/>
      <family val="2"/>
      <scheme val="minor"/>
    </font>
    <font>
      <sz val="14"/>
      <color theme="1"/>
      <name val="Calibri"/>
      <family val="2"/>
      <scheme val="minor"/>
    </font>
    <font>
      <i/>
      <u/>
      <sz val="14"/>
      <color theme="1"/>
      <name val="Arial Rounded MT Bold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  <font>
      <i/>
      <sz val="12"/>
      <color indexed="36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indexed="17"/>
      <name val="Arial"/>
      <family val="2"/>
    </font>
    <font>
      <sz val="16"/>
      <color theme="1"/>
      <name val="Arial Rounded MT Bold"/>
      <family val="2"/>
    </font>
    <font>
      <vertAlign val="superscript"/>
      <sz val="16"/>
      <color indexed="8"/>
      <name val="Arial Rounded MT Bold"/>
      <family val="2"/>
    </font>
    <font>
      <sz val="16"/>
      <color indexed="8"/>
      <name val="Arial Rounded MT Bold"/>
      <family val="2"/>
    </font>
    <font>
      <sz val="8.5"/>
      <name val="Calibri"/>
      <family val="2"/>
      <scheme val="minor"/>
    </font>
    <font>
      <sz val="16"/>
      <color theme="1"/>
      <name val="Calibri"/>
      <family val="2"/>
    </font>
    <font>
      <b/>
      <sz val="18"/>
      <color rgb="FF000000"/>
      <name val="Arial Rounded MT Bold"/>
      <family val="2"/>
    </font>
    <font>
      <b/>
      <vertAlign val="superscript"/>
      <sz val="18"/>
      <color rgb="FF000000"/>
      <name val="Arial Rounded MT Bold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2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7">
    <xf numFmtId="0" fontId="0" fillId="0" borderId="0" xfId="0"/>
    <xf numFmtId="0" fontId="6" fillId="3" borderId="8" xfId="0" applyFont="1" applyFill="1" applyBorder="1" applyAlignment="1" applyProtection="1">
      <alignment horizontal="center" vertical="center"/>
      <protection locked="0"/>
    </xf>
    <xf numFmtId="0" fontId="0" fillId="13" borderId="35" xfId="0" applyFill="1" applyBorder="1"/>
    <xf numFmtId="0" fontId="0" fillId="13" borderId="55" xfId="0" applyFill="1" applyBorder="1"/>
    <xf numFmtId="0" fontId="0" fillId="13" borderId="56" xfId="0" applyFill="1" applyBorder="1"/>
    <xf numFmtId="0" fontId="0" fillId="13" borderId="58" xfId="0" applyFill="1" applyBorder="1"/>
    <xf numFmtId="0" fontId="0" fillId="13" borderId="0" xfId="0" applyFill="1"/>
    <xf numFmtId="0" fontId="0" fillId="13" borderId="60" xfId="0" applyFill="1" applyBorder="1"/>
    <xf numFmtId="0" fontId="0" fillId="0" borderId="58" xfId="0" applyBorder="1"/>
    <xf numFmtId="0" fontId="0" fillId="0" borderId="60" xfId="0" applyBorder="1"/>
    <xf numFmtId="0" fontId="0" fillId="13" borderId="61" xfId="0" applyFill="1" applyBorder="1"/>
    <xf numFmtId="0" fontId="0" fillId="13" borderId="62" xfId="0" applyFill="1" applyBorder="1"/>
    <xf numFmtId="0" fontId="0" fillId="13" borderId="63" xfId="0" applyFill="1" applyBorder="1"/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23" fillId="2" borderId="8" xfId="0" applyFont="1" applyFill="1" applyBorder="1" applyAlignment="1">
      <alignment horizontal="center" vertical="center" wrapText="1"/>
    </xf>
    <xf numFmtId="164" fontId="26" fillId="3" borderId="8" xfId="0" applyNumberFormat="1" applyFont="1" applyFill="1" applyBorder="1" applyAlignment="1" applyProtection="1">
      <alignment horizontal="center" vertical="center"/>
      <protection locked="0"/>
    </xf>
    <xf numFmtId="0" fontId="24" fillId="18" borderId="8" xfId="0" applyFont="1" applyFill="1" applyBorder="1" applyAlignment="1">
      <alignment horizontal="center" vertical="center" wrapText="1"/>
    </xf>
    <xf numFmtId="0" fontId="24" fillId="5" borderId="8" xfId="0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 wrapText="1"/>
    </xf>
    <xf numFmtId="0" fontId="29" fillId="8" borderId="67" xfId="0" applyFont="1" applyFill="1" applyBorder="1" applyAlignment="1">
      <alignment horizontal="left"/>
    </xf>
    <xf numFmtId="164" fontId="30" fillId="8" borderId="68" xfId="0" applyNumberFormat="1" applyFont="1" applyFill="1" applyBorder="1"/>
    <xf numFmtId="0" fontId="31" fillId="8" borderId="68" xfId="0" applyFont="1" applyFill="1" applyBorder="1"/>
    <xf numFmtId="9" fontId="30" fillId="8" borderId="68" xfId="0" applyNumberFormat="1" applyFont="1" applyFill="1" applyBorder="1"/>
    <xf numFmtId="9" fontId="30" fillId="8" borderId="61" xfId="0" applyNumberFormat="1" applyFont="1" applyFill="1" applyBorder="1"/>
    <xf numFmtId="9" fontId="30" fillId="8" borderId="14" xfId="0" applyNumberFormat="1" applyFont="1" applyFill="1" applyBorder="1"/>
    <xf numFmtId="0" fontId="29" fillId="10" borderId="27" xfId="0" applyFont="1" applyFill="1" applyBorder="1" applyAlignment="1">
      <alignment horizontal="left"/>
    </xf>
    <xf numFmtId="164" fontId="30" fillId="10" borderId="19" xfId="0" applyNumberFormat="1" applyFont="1" applyFill="1" applyBorder="1"/>
    <xf numFmtId="0" fontId="31" fillId="10" borderId="19" xfId="0" applyFont="1" applyFill="1" applyBorder="1"/>
    <xf numFmtId="9" fontId="30" fillId="10" borderId="19" xfId="0" applyNumberFormat="1" applyFont="1" applyFill="1" applyBorder="1"/>
    <xf numFmtId="9" fontId="30" fillId="10" borderId="36" xfId="0" applyNumberFormat="1" applyFont="1" applyFill="1" applyBorder="1"/>
    <xf numFmtId="9" fontId="30" fillId="10" borderId="20" xfId="0" applyNumberFormat="1" applyFont="1" applyFill="1" applyBorder="1"/>
    <xf numFmtId="0" fontId="29" fillId="8" borderId="70" xfId="0" applyFont="1" applyFill="1" applyBorder="1" applyAlignment="1">
      <alignment horizontal="left"/>
    </xf>
    <xf numFmtId="164" fontId="30" fillId="8" borderId="71" xfId="0" applyNumberFormat="1" applyFont="1" applyFill="1" applyBorder="1"/>
    <xf numFmtId="0" fontId="31" fillId="8" borderId="71" xfId="0" applyFont="1" applyFill="1" applyBorder="1"/>
    <xf numFmtId="9" fontId="30" fillId="8" borderId="71" xfId="0" applyNumberFormat="1" applyFont="1" applyFill="1" applyBorder="1"/>
    <xf numFmtId="0" fontId="32" fillId="8" borderId="71" xfId="0" applyFont="1" applyFill="1" applyBorder="1"/>
    <xf numFmtId="9" fontId="30" fillId="10" borderId="74" xfId="0" applyNumberFormat="1" applyFont="1" applyFill="1" applyBorder="1"/>
    <xf numFmtId="0" fontId="29" fillId="8" borderId="27" xfId="0" applyFont="1" applyFill="1" applyBorder="1" applyAlignment="1">
      <alignment horizontal="left"/>
    </xf>
    <xf numFmtId="164" fontId="30" fillId="8" borderId="19" xfId="0" applyNumberFormat="1" applyFont="1" applyFill="1" applyBorder="1"/>
    <xf numFmtId="0" fontId="31" fillId="8" borderId="19" xfId="0" applyFont="1" applyFill="1" applyBorder="1"/>
    <xf numFmtId="9" fontId="30" fillId="8" borderId="19" xfId="0" applyNumberFormat="1" applyFont="1" applyFill="1" applyBorder="1"/>
    <xf numFmtId="9" fontId="30" fillId="8" borderId="74" xfId="0" applyNumberFormat="1" applyFont="1" applyFill="1" applyBorder="1"/>
    <xf numFmtId="9" fontId="30" fillId="8" borderId="20" xfId="0" applyNumberFormat="1" applyFont="1" applyFill="1" applyBorder="1"/>
    <xf numFmtId="164" fontId="30" fillId="0" borderId="19" xfId="0" applyNumberFormat="1" applyFont="1" applyBorder="1"/>
    <xf numFmtId="0" fontId="31" fillId="0" borderId="19" xfId="0" applyFont="1" applyBorder="1"/>
    <xf numFmtId="9" fontId="30" fillId="0" borderId="19" xfId="0" applyNumberFormat="1" applyFont="1" applyBorder="1"/>
    <xf numFmtId="9" fontId="30" fillId="0" borderId="74" xfId="0" applyNumberFormat="1" applyFont="1" applyBorder="1"/>
    <xf numFmtId="9" fontId="30" fillId="0" borderId="20" xfId="0" applyNumberFormat="1" applyFont="1" applyBorder="1"/>
    <xf numFmtId="0" fontId="29" fillId="12" borderId="27" xfId="0" applyFont="1" applyFill="1" applyBorder="1" applyAlignment="1">
      <alignment horizontal="left"/>
    </xf>
    <xf numFmtId="164" fontId="30" fillId="12" borderId="19" xfId="0" applyNumberFormat="1" applyFont="1" applyFill="1" applyBorder="1"/>
    <xf numFmtId="0" fontId="31" fillId="12" borderId="19" xfId="0" applyFont="1" applyFill="1" applyBorder="1"/>
    <xf numFmtId="9" fontId="30" fillId="12" borderId="19" xfId="0" applyNumberFormat="1" applyFont="1" applyFill="1" applyBorder="1"/>
    <xf numFmtId="9" fontId="30" fillId="12" borderId="74" xfId="0" applyNumberFormat="1" applyFont="1" applyFill="1" applyBorder="1"/>
    <xf numFmtId="9" fontId="30" fillId="12" borderId="20" xfId="0" applyNumberFormat="1" applyFont="1" applyFill="1" applyBorder="1"/>
    <xf numFmtId="164" fontId="30" fillId="20" borderId="19" xfId="0" applyNumberFormat="1" applyFont="1" applyFill="1" applyBorder="1"/>
    <xf numFmtId="0" fontId="31" fillId="20" borderId="19" xfId="0" applyFont="1" applyFill="1" applyBorder="1"/>
    <xf numFmtId="9" fontId="30" fillId="20" borderId="19" xfId="0" applyNumberFormat="1" applyFont="1" applyFill="1" applyBorder="1"/>
    <xf numFmtId="9" fontId="30" fillId="20" borderId="74" xfId="0" applyNumberFormat="1" applyFont="1" applyFill="1" applyBorder="1"/>
    <xf numFmtId="9" fontId="30" fillId="20" borderId="20" xfId="0" applyNumberFormat="1" applyFont="1" applyFill="1" applyBorder="1"/>
    <xf numFmtId="1" fontId="30" fillId="12" borderId="25" xfId="0" applyNumberFormat="1" applyFont="1" applyFill="1" applyBorder="1"/>
    <xf numFmtId="0" fontId="31" fillId="12" borderId="25" xfId="0" applyFont="1" applyFill="1" applyBorder="1"/>
    <xf numFmtId="9" fontId="30" fillId="12" borderId="25" xfId="0" applyNumberFormat="1" applyFont="1" applyFill="1" applyBorder="1"/>
    <xf numFmtId="9" fontId="30" fillId="12" borderId="55" xfId="0" applyNumberFormat="1" applyFont="1" applyFill="1" applyBorder="1"/>
    <xf numFmtId="0" fontId="29" fillId="19" borderId="19" xfId="0" applyFont="1" applyFill="1" applyBorder="1" applyAlignment="1">
      <alignment horizontal="left"/>
    </xf>
    <xf numFmtId="164" fontId="30" fillId="19" borderId="19" xfId="0" applyNumberFormat="1" applyFont="1" applyFill="1" applyBorder="1"/>
    <xf numFmtId="0" fontId="31" fillId="19" borderId="19" xfId="0" applyFont="1" applyFill="1" applyBorder="1"/>
    <xf numFmtId="9" fontId="30" fillId="19" borderId="19" xfId="0" applyNumberFormat="1" applyFont="1" applyFill="1" applyBorder="1"/>
    <xf numFmtId="9" fontId="30" fillId="19" borderId="20" xfId="0" applyNumberFormat="1" applyFont="1" applyFill="1" applyBorder="1"/>
    <xf numFmtId="164" fontId="30" fillId="13" borderId="25" xfId="0" applyNumberFormat="1" applyFont="1" applyFill="1" applyBorder="1"/>
    <xf numFmtId="0" fontId="31" fillId="13" borderId="25" xfId="0" applyFont="1" applyFill="1" applyBorder="1"/>
    <xf numFmtId="9" fontId="30" fillId="13" borderId="25" xfId="0" applyNumberFormat="1" applyFont="1" applyFill="1" applyBorder="1"/>
    <xf numFmtId="9" fontId="30" fillId="13" borderId="55" xfId="0" applyNumberFormat="1" applyFont="1" applyFill="1" applyBorder="1"/>
    <xf numFmtId="9" fontId="30" fillId="13" borderId="30" xfId="0" applyNumberFormat="1" applyFont="1" applyFill="1" applyBorder="1"/>
    <xf numFmtId="0" fontId="24" fillId="18" borderId="4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9" fontId="30" fillId="8" borderId="62" xfId="0" applyNumberFormat="1" applyFont="1" applyFill="1" applyBorder="1"/>
    <xf numFmtId="2" fontId="30" fillId="8" borderId="19" xfId="0" applyNumberFormat="1" applyFont="1" applyFill="1" applyBorder="1"/>
    <xf numFmtId="2" fontId="30" fillId="10" borderId="19" xfId="0" applyNumberFormat="1" applyFont="1" applyFill="1" applyBorder="1"/>
    <xf numFmtId="0" fontId="29" fillId="8" borderId="72" xfId="0" applyFont="1" applyFill="1" applyBorder="1" applyAlignment="1">
      <alignment horizontal="left"/>
    </xf>
    <xf numFmtId="164" fontId="30" fillId="8" borderId="56" xfId="0" applyNumberFormat="1" applyFont="1" applyFill="1" applyBorder="1"/>
    <xf numFmtId="0" fontId="31" fillId="8" borderId="25" xfId="0" applyFont="1" applyFill="1" applyBorder="1" applyAlignment="1">
      <alignment horizontal="right"/>
    </xf>
    <xf numFmtId="0" fontId="30" fillId="8" borderId="25" xfId="0" applyFont="1" applyFill="1" applyBorder="1"/>
    <xf numFmtId="0" fontId="30" fillId="8" borderId="55" xfId="0" applyFont="1" applyFill="1" applyBorder="1"/>
    <xf numFmtId="0" fontId="30" fillId="8" borderId="30" xfId="0" applyFont="1" applyFill="1" applyBorder="1"/>
    <xf numFmtId="164" fontId="30" fillId="9" borderId="68" xfId="0" applyNumberFormat="1" applyFont="1" applyFill="1" applyBorder="1"/>
    <xf numFmtId="0" fontId="31" fillId="9" borderId="68" xfId="0" applyFont="1" applyFill="1" applyBorder="1"/>
    <xf numFmtId="9" fontId="30" fillId="9" borderId="68" xfId="0" applyNumberFormat="1" applyFont="1" applyFill="1" applyBorder="1"/>
    <xf numFmtId="9" fontId="30" fillId="9" borderId="62" xfId="0" applyNumberFormat="1" applyFont="1" applyFill="1" applyBorder="1"/>
    <xf numFmtId="9" fontId="30" fillId="9" borderId="14" xfId="0" applyNumberFormat="1" applyFont="1" applyFill="1" applyBorder="1"/>
    <xf numFmtId="164" fontId="30" fillId="9" borderId="19" xfId="0" applyNumberFormat="1" applyFont="1" applyFill="1" applyBorder="1"/>
    <xf numFmtId="0" fontId="31" fillId="9" borderId="19" xfId="0" applyFont="1" applyFill="1" applyBorder="1"/>
    <xf numFmtId="9" fontId="30" fillId="9" borderId="19" xfId="0" applyNumberFormat="1" applyFont="1" applyFill="1" applyBorder="1"/>
    <xf numFmtId="9" fontId="30" fillId="9" borderId="74" xfId="0" applyNumberFormat="1" applyFont="1" applyFill="1" applyBorder="1"/>
    <xf numFmtId="9" fontId="30" fillId="9" borderId="20" xfId="0" applyNumberFormat="1" applyFont="1" applyFill="1" applyBorder="1"/>
    <xf numFmtId="0" fontId="32" fillId="0" borderId="19" xfId="0" applyFont="1" applyBorder="1"/>
    <xf numFmtId="0" fontId="32" fillId="9" borderId="19" xfId="0" applyFont="1" applyFill="1" applyBorder="1"/>
    <xf numFmtId="2" fontId="30" fillId="0" borderId="19" xfId="0" applyNumberFormat="1" applyFont="1" applyBorder="1"/>
    <xf numFmtId="0" fontId="31" fillId="0" borderId="19" xfId="0" applyFont="1" applyBorder="1" applyAlignment="1">
      <alignment horizontal="right"/>
    </xf>
    <xf numFmtId="0" fontId="31" fillId="9" borderId="19" xfId="0" applyFont="1" applyFill="1" applyBorder="1" applyAlignment="1">
      <alignment horizontal="right"/>
    </xf>
    <xf numFmtId="0" fontId="29" fillId="10" borderId="28" xfId="0" applyFont="1" applyFill="1" applyBorder="1" applyAlignment="1">
      <alignment horizontal="left"/>
    </xf>
    <xf numFmtId="164" fontId="30" fillId="0" borderId="29" xfId="0" applyNumberFormat="1" applyFont="1" applyBorder="1"/>
    <xf numFmtId="0" fontId="31" fillId="0" borderId="29" xfId="0" applyFont="1" applyBorder="1" applyAlignment="1">
      <alignment horizontal="right"/>
    </xf>
    <xf numFmtId="9" fontId="30" fillId="0" borderId="29" xfId="0" applyNumberFormat="1" applyFont="1" applyBorder="1"/>
    <xf numFmtId="9" fontId="30" fillId="0" borderId="75" xfId="0" applyNumberFormat="1" applyFont="1" applyBorder="1"/>
    <xf numFmtId="9" fontId="30" fillId="0" borderId="30" xfId="0" applyNumberFormat="1" applyFont="1" applyBorder="1"/>
    <xf numFmtId="9" fontId="30" fillId="8" borderId="69" xfId="0" applyNumberFormat="1" applyFont="1" applyFill="1" applyBorder="1"/>
    <xf numFmtId="0" fontId="29" fillId="0" borderId="67" xfId="0" applyFont="1" applyBorder="1" applyAlignment="1">
      <alignment horizontal="left"/>
    </xf>
    <xf numFmtId="164" fontId="30" fillId="0" borderId="68" xfId="0" applyNumberFormat="1" applyFont="1" applyBorder="1"/>
    <xf numFmtId="0" fontId="31" fillId="0" borderId="68" xfId="0" applyFont="1" applyBorder="1"/>
    <xf numFmtId="9" fontId="30" fillId="0" borderId="68" xfId="0" applyNumberFormat="1" applyFont="1" applyBorder="1"/>
    <xf numFmtId="9" fontId="30" fillId="0" borderId="61" xfId="0" applyNumberFormat="1" applyFont="1" applyBorder="1"/>
    <xf numFmtId="9" fontId="30" fillId="0" borderId="14" xfId="0" applyNumberFormat="1" applyFont="1" applyBorder="1"/>
    <xf numFmtId="0" fontId="30" fillId="8" borderId="27" xfId="0" applyFont="1" applyFill="1" applyBorder="1" applyAlignment="1">
      <alignment horizontal="left"/>
    </xf>
    <xf numFmtId="0" fontId="30" fillId="0" borderId="27" xfId="0" applyFont="1" applyBorder="1" applyAlignment="1">
      <alignment horizontal="left"/>
    </xf>
    <xf numFmtId="0" fontId="30" fillId="12" borderId="27" xfId="0" applyFont="1" applyFill="1" applyBorder="1" applyAlignment="1">
      <alignment horizontal="left"/>
    </xf>
    <xf numFmtId="0" fontId="30" fillId="20" borderId="27" xfId="0" applyFont="1" applyFill="1" applyBorder="1" applyAlignment="1">
      <alignment horizontal="left"/>
    </xf>
    <xf numFmtId="0" fontId="30" fillId="12" borderId="72" xfId="0" applyFont="1" applyFill="1" applyBorder="1" applyAlignment="1">
      <alignment horizontal="left"/>
    </xf>
    <xf numFmtId="0" fontId="30" fillId="13" borderId="72" xfId="0" applyFont="1" applyFill="1" applyBorder="1" applyAlignment="1">
      <alignment horizontal="left"/>
    </xf>
    <xf numFmtId="164" fontId="31" fillId="8" borderId="68" xfId="0" applyNumberFormat="1" applyFont="1" applyFill="1" applyBorder="1"/>
    <xf numFmtId="164" fontId="31" fillId="10" borderId="19" xfId="0" applyNumberFormat="1" applyFont="1" applyFill="1" applyBorder="1"/>
    <xf numFmtId="164" fontId="31" fillId="8" borderId="19" xfId="0" applyNumberFormat="1" applyFont="1" applyFill="1" applyBorder="1"/>
    <xf numFmtId="164" fontId="31" fillId="8" borderId="25" xfId="0" applyNumberFormat="1" applyFont="1" applyFill="1" applyBorder="1"/>
    <xf numFmtId="164" fontId="31" fillId="0" borderId="68" xfId="0" applyNumberFormat="1" applyFont="1" applyBorder="1"/>
    <xf numFmtId="164" fontId="32" fillId="8" borderId="19" xfId="0" applyNumberFormat="1" applyFont="1" applyFill="1" applyBorder="1"/>
    <xf numFmtId="164" fontId="31" fillId="0" borderId="19" xfId="0" applyNumberFormat="1" applyFont="1" applyBorder="1"/>
    <xf numFmtId="164" fontId="31" fillId="12" borderId="19" xfId="0" applyNumberFormat="1" applyFont="1" applyFill="1" applyBorder="1"/>
    <xf numFmtId="164" fontId="31" fillId="20" borderId="19" xfId="0" applyNumberFormat="1" applyFont="1" applyFill="1" applyBorder="1"/>
    <xf numFmtId="9" fontId="30" fillId="8" borderId="0" xfId="0" applyNumberFormat="1" applyFont="1" applyFill="1"/>
    <xf numFmtId="1" fontId="32" fillId="19" borderId="19" xfId="0" applyNumberFormat="1" applyFont="1" applyFill="1" applyBorder="1"/>
    <xf numFmtId="1" fontId="31" fillId="12" borderId="19" xfId="0" applyNumberFormat="1" applyFont="1" applyFill="1" applyBorder="1"/>
    <xf numFmtId="1" fontId="32" fillId="8" borderId="19" xfId="0" applyNumberFormat="1" applyFont="1" applyFill="1" applyBorder="1"/>
    <xf numFmtId="1" fontId="32" fillId="8" borderId="68" xfId="0" applyNumberFormat="1" applyFont="1" applyFill="1" applyBorder="1"/>
    <xf numFmtId="164" fontId="32" fillId="10" borderId="19" xfId="0" applyNumberFormat="1" applyFont="1" applyFill="1" applyBorder="1"/>
    <xf numFmtId="1" fontId="32" fillId="10" borderId="19" xfId="0" applyNumberFormat="1" applyFont="1" applyFill="1" applyBorder="1"/>
    <xf numFmtId="1" fontId="31" fillId="10" borderId="19" xfId="0" applyNumberFormat="1" applyFont="1" applyFill="1" applyBorder="1"/>
    <xf numFmtId="1" fontId="31" fillId="8" borderId="19" xfId="0" applyNumberFormat="1" applyFont="1" applyFill="1" applyBorder="1"/>
    <xf numFmtId="1" fontId="31" fillId="0" borderId="19" xfId="0" applyNumberFormat="1" applyFont="1" applyBorder="1"/>
    <xf numFmtId="1" fontId="31" fillId="9" borderId="19" xfId="0" applyNumberFormat="1" applyFont="1" applyFill="1" applyBorder="1"/>
    <xf numFmtId="1" fontId="32" fillId="0" borderId="19" xfId="0" applyNumberFormat="1" applyFont="1" applyBorder="1"/>
    <xf numFmtId="1" fontId="32" fillId="9" borderId="19" xfId="0" applyNumberFormat="1" applyFont="1" applyFill="1" applyBorder="1"/>
    <xf numFmtId="1" fontId="31" fillId="0" borderId="29" xfId="0" applyNumberFormat="1" applyFont="1" applyBorder="1"/>
    <xf numFmtId="1" fontId="32" fillId="9" borderId="68" xfId="0" applyNumberFormat="1" applyFont="1" applyFill="1" applyBorder="1"/>
    <xf numFmtId="0" fontId="24" fillId="4" borderId="4" xfId="0" applyFont="1" applyFill="1" applyBorder="1" applyAlignment="1">
      <alignment horizontal="center" vertical="center" wrapText="1"/>
    </xf>
    <xf numFmtId="0" fontId="24" fillId="4" borderId="47" xfId="0" applyFont="1" applyFill="1" applyBorder="1" applyAlignment="1">
      <alignment horizontal="center" vertical="center" wrapText="1"/>
    </xf>
    <xf numFmtId="0" fontId="24" fillId="4" borderId="48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9" xfId="0" applyBorder="1"/>
    <xf numFmtId="9" fontId="0" fillId="11" borderId="25" xfId="0" applyNumberFormat="1" applyFill="1" applyBorder="1"/>
    <xf numFmtId="0" fontId="0" fillId="0" borderId="14" xfId="0" applyBorder="1"/>
    <xf numFmtId="0" fontId="0" fillId="0" borderId="20" xfId="0" applyBorder="1"/>
    <xf numFmtId="0" fontId="0" fillId="0" borderId="68" xfId="0" applyBorder="1"/>
    <xf numFmtId="0" fontId="0" fillId="0" borderId="69" xfId="0" applyBorder="1"/>
    <xf numFmtId="1" fontId="31" fillId="13" borderId="25" xfId="0" applyNumberFormat="1" applyFont="1" applyFill="1" applyBorder="1"/>
    <xf numFmtId="0" fontId="0" fillId="11" borderId="25" xfId="0" applyFill="1" applyBorder="1"/>
    <xf numFmtId="0" fontId="16" fillId="0" borderId="13" xfId="0" applyFont="1" applyBorder="1"/>
    <xf numFmtId="0" fontId="16" fillId="0" borderId="68" xfId="0" applyFont="1" applyBorder="1"/>
    <xf numFmtId="0" fontId="16" fillId="0" borderId="19" xfId="0" applyFont="1" applyBorder="1"/>
    <xf numFmtId="0" fontId="16" fillId="11" borderId="25" xfId="0" applyFont="1" applyFill="1" applyBorder="1"/>
    <xf numFmtId="0" fontId="16" fillId="11" borderId="19" xfId="0" applyFont="1" applyFill="1" applyBorder="1"/>
    <xf numFmtId="9" fontId="0" fillId="0" borderId="19" xfId="0" applyNumberFormat="1" applyBorder="1"/>
    <xf numFmtId="9" fontId="0" fillId="9" borderId="19" xfId="0" applyNumberFormat="1" applyFill="1" applyBorder="1"/>
    <xf numFmtId="0" fontId="0" fillId="9" borderId="29" xfId="0" applyFill="1" applyBorder="1"/>
    <xf numFmtId="9" fontId="0" fillId="0" borderId="20" xfId="0" applyNumberFormat="1" applyBorder="1"/>
    <xf numFmtId="9" fontId="0" fillId="9" borderId="20" xfId="0" applyNumberFormat="1" applyFill="1" applyBorder="1"/>
    <xf numFmtId="0" fontId="0" fillId="9" borderId="30" xfId="0" applyFill="1" applyBorder="1"/>
    <xf numFmtId="0" fontId="31" fillId="0" borderId="11" xfId="0" applyFont="1" applyBorder="1"/>
    <xf numFmtId="10" fontId="30" fillId="0" borderId="11" xfId="0" applyNumberFormat="1" applyFont="1" applyBorder="1"/>
    <xf numFmtId="9" fontId="30" fillId="0" borderId="12" xfId="0" applyNumberFormat="1" applyFont="1" applyBorder="1"/>
    <xf numFmtId="0" fontId="30" fillId="8" borderId="31" xfId="0" applyFont="1" applyFill="1" applyBorder="1" applyAlignment="1">
      <alignment horizontal="left"/>
    </xf>
    <xf numFmtId="164" fontId="30" fillId="8" borderId="32" xfId="0" applyNumberFormat="1" applyFont="1" applyFill="1" applyBorder="1"/>
    <xf numFmtId="0" fontId="31" fillId="0" borderId="33" xfId="0" applyFont="1" applyBorder="1"/>
    <xf numFmtId="10" fontId="30" fillId="0" borderId="33" xfId="0" applyNumberFormat="1" applyFont="1" applyBorder="1"/>
    <xf numFmtId="9" fontId="30" fillId="0" borderId="34" xfId="0" applyNumberFormat="1" applyFont="1" applyBorder="1"/>
    <xf numFmtId="0" fontId="29" fillId="10" borderId="15" xfId="0" applyFont="1" applyFill="1" applyBorder="1" applyAlignment="1">
      <alignment horizontal="left"/>
    </xf>
    <xf numFmtId="164" fontId="30" fillId="10" borderId="16" xfId="0" applyNumberFormat="1" applyFont="1" applyFill="1" applyBorder="1"/>
    <xf numFmtId="0" fontId="31" fillId="10" borderId="17" xfId="0" applyFont="1" applyFill="1" applyBorder="1"/>
    <xf numFmtId="10" fontId="30" fillId="10" borderId="17" xfId="0" applyNumberFormat="1" applyFont="1" applyFill="1" applyBorder="1"/>
    <xf numFmtId="9" fontId="30" fillId="10" borderId="18" xfId="0" applyNumberFormat="1" applyFont="1" applyFill="1" applyBorder="1"/>
    <xf numFmtId="0" fontId="29" fillId="8" borderId="15" xfId="0" applyFont="1" applyFill="1" applyBorder="1" applyAlignment="1">
      <alignment horizontal="left"/>
    </xf>
    <xf numFmtId="164" fontId="30" fillId="8" borderId="16" xfId="0" applyNumberFormat="1" applyFont="1" applyFill="1" applyBorder="1"/>
    <xf numFmtId="0" fontId="32" fillId="8" borderId="17" xfId="0" applyFont="1" applyFill="1" applyBorder="1"/>
    <xf numFmtId="9" fontId="30" fillId="8" borderId="17" xfId="0" applyNumberFormat="1" applyFont="1" applyFill="1" applyBorder="1"/>
    <xf numFmtId="9" fontId="30" fillId="8" borderId="18" xfId="0" applyNumberFormat="1" applyFont="1" applyFill="1" applyBorder="1"/>
    <xf numFmtId="0" fontId="37" fillId="9" borderId="19" xfId="0" applyFont="1" applyFill="1" applyBorder="1"/>
    <xf numFmtId="9" fontId="14" fillId="9" borderId="19" xfId="0" applyNumberFormat="1" applyFont="1" applyFill="1" applyBorder="1"/>
    <xf numFmtId="9" fontId="14" fillId="9" borderId="20" xfId="0" applyNumberFormat="1" applyFont="1" applyFill="1" applyBorder="1"/>
    <xf numFmtId="0" fontId="29" fillId="10" borderId="21" xfId="0" applyFont="1" applyFill="1" applyBorder="1" applyAlignment="1">
      <alignment horizontal="left"/>
    </xf>
    <xf numFmtId="164" fontId="30" fillId="10" borderId="22" xfId="0" applyNumberFormat="1" applyFont="1" applyFill="1" applyBorder="1"/>
    <xf numFmtId="0" fontId="31" fillId="10" borderId="23" xfId="0" applyFont="1" applyFill="1" applyBorder="1"/>
    <xf numFmtId="9" fontId="30" fillId="10" borderId="23" xfId="0" applyNumberFormat="1" applyFont="1" applyFill="1" applyBorder="1"/>
    <xf numFmtId="9" fontId="30" fillId="10" borderId="24" xfId="0" applyNumberFormat="1" applyFont="1" applyFill="1" applyBorder="1"/>
    <xf numFmtId="9" fontId="14" fillId="11" borderId="26" xfId="0" applyNumberFormat="1" applyFont="1" applyFill="1" applyBorder="1"/>
    <xf numFmtId="0" fontId="32" fillId="8" borderId="19" xfId="0" applyFont="1" applyFill="1" applyBorder="1"/>
    <xf numFmtId="0" fontId="8" fillId="13" borderId="19" xfId="0" applyFont="1" applyFill="1" applyBorder="1"/>
    <xf numFmtId="9" fontId="14" fillId="13" borderId="19" xfId="0" applyNumberFormat="1" applyFont="1" applyFill="1" applyBorder="1"/>
    <xf numFmtId="9" fontId="14" fillId="13" borderId="20" xfId="0" applyNumberFormat="1" applyFont="1" applyFill="1" applyBorder="1"/>
    <xf numFmtId="0" fontId="24" fillId="13" borderId="19" xfId="0" applyFont="1" applyFill="1" applyBorder="1"/>
    <xf numFmtId="0" fontId="29" fillId="12" borderId="28" xfId="0" applyFont="1" applyFill="1" applyBorder="1" applyAlignment="1">
      <alignment horizontal="left"/>
    </xf>
    <xf numFmtId="0" fontId="31" fillId="12" borderId="29" xfId="0" applyFont="1" applyFill="1" applyBorder="1"/>
    <xf numFmtId="9" fontId="30" fillId="12" borderId="29" xfId="0" applyNumberFormat="1" applyFont="1" applyFill="1" applyBorder="1"/>
    <xf numFmtId="0" fontId="8" fillId="13" borderId="29" xfId="0" applyFont="1" applyFill="1" applyBorder="1"/>
    <xf numFmtId="9" fontId="14" fillId="13" borderId="29" xfId="0" applyNumberFormat="1" applyFont="1" applyFill="1" applyBorder="1"/>
    <xf numFmtId="0" fontId="24" fillId="13" borderId="29" xfId="0" applyFont="1" applyFill="1" applyBorder="1"/>
    <xf numFmtId="9" fontId="14" fillId="13" borderId="30" xfId="0" applyNumberFormat="1" applyFont="1" applyFill="1" applyBorder="1"/>
    <xf numFmtId="0" fontId="29" fillId="8" borderId="31" xfId="0" applyFont="1" applyFill="1" applyBorder="1" applyAlignment="1">
      <alignment horizontal="left"/>
    </xf>
    <xf numFmtId="9" fontId="30" fillId="8" borderId="33" xfId="0" applyNumberFormat="1" applyFont="1" applyFill="1" applyBorder="1"/>
    <xf numFmtId="9" fontId="30" fillId="8" borderId="34" xfId="0" applyNumberFormat="1" applyFont="1" applyFill="1" applyBorder="1"/>
    <xf numFmtId="9" fontId="14" fillId="9" borderId="13" xfId="0" applyNumberFormat="1" applyFont="1" applyFill="1" applyBorder="1"/>
    <xf numFmtId="9" fontId="14" fillId="9" borderId="14" xfId="0" applyNumberFormat="1" applyFont="1" applyFill="1" applyBorder="1"/>
    <xf numFmtId="9" fontId="30" fillId="10" borderId="17" xfId="0" applyNumberFormat="1" applyFont="1" applyFill="1" applyBorder="1"/>
    <xf numFmtId="2" fontId="30" fillId="8" borderId="16" xfId="0" applyNumberFormat="1" applyFont="1" applyFill="1" applyBorder="1"/>
    <xf numFmtId="2" fontId="30" fillId="10" borderId="16" xfId="0" applyNumberFormat="1" applyFont="1" applyFill="1" applyBorder="1"/>
    <xf numFmtId="9" fontId="14" fillId="0" borderId="19" xfId="0" applyNumberFormat="1" applyFont="1" applyBorder="1"/>
    <xf numFmtId="9" fontId="14" fillId="0" borderId="20" xfId="0" applyNumberFormat="1" applyFont="1" applyBorder="1"/>
    <xf numFmtId="0" fontId="29" fillId="8" borderId="21" xfId="0" applyFont="1" applyFill="1" applyBorder="1" applyAlignment="1">
      <alignment horizontal="left"/>
    </xf>
    <xf numFmtId="164" fontId="30" fillId="8" borderId="24" xfId="0" applyNumberFormat="1" applyFont="1" applyFill="1" applyBorder="1"/>
    <xf numFmtId="9" fontId="30" fillId="8" borderId="25" xfId="0" applyNumberFormat="1" applyFont="1" applyFill="1" applyBorder="1" applyAlignment="1">
      <alignment horizontal="right"/>
    </xf>
    <xf numFmtId="9" fontId="30" fillId="8" borderId="35" xfId="0" applyNumberFormat="1" applyFont="1" applyFill="1" applyBorder="1" applyAlignment="1">
      <alignment horizontal="right"/>
    </xf>
    <xf numFmtId="9" fontId="0" fillId="9" borderId="13" xfId="0" applyNumberFormat="1" applyFill="1" applyBorder="1"/>
    <xf numFmtId="9" fontId="0" fillId="9" borderId="14" xfId="0" applyNumberFormat="1" applyFill="1" applyBorder="1"/>
    <xf numFmtId="9" fontId="0" fillId="0" borderId="29" xfId="0" applyNumberFormat="1" applyBorder="1"/>
    <xf numFmtId="9" fontId="0" fillId="0" borderId="30" xfId="0" applyNumberFormat="1" applyBorder="1"/>
    <xf numFmtId="9" fontId="30" fillId="10" borderId="19" xfId="0" applyNumberFormat="1" applyFont="1" applyFill="1" applyBorder="1" applyAlignment="1">
      <alignment horizontal="right"/>
    </xf>
    <xf numFmtId="9" fontId="30" fillId="10" borderId="36" xfId="0" applyNumberFormat="1" applyFont="1" applyFill="1" applyBorder="1" applyAlignment="1">
      <alignment horizontal="right"/>
    </xf>
    <xf numFmtId="0" fontId="29" fillId="10" borderId="37" xfId="0" applyFont="1" applyFill="1" applyBorder="1" applyAlignment="1">
      <alignment horizontal="left"/>
    </xf>
    <xf numFmtId="9" fontId="30" fillId="10" borderId="29" xfId="0" applyNumberFormat="1" applyFont="1" applyFill="1" applyBorder="1" applyAlignment="1">
      <alignment horizontal="right"/>
    </xf>
    <xf numFmtId="9" fontId="30" fillId="10" borderId="40" xfId="0" applyNumberFormat="1" applyFont="1" applyFill="1" applyBorder="1" applyAlignment="1">
      <alignment horizontal="right"/>
    </xf>
    <xf numFmtId="0" fontId="32" fillId="8" borderId="33" xfId="0" applyFont="1" applyFill="1" applyBorder="1"/>
    <xf numFmtId="0" fontId="32" fillId="10" borderId="17" xfId="0" applyFont="1" applyFill="1" applyBorder="1"/>
    <xf numFmtId="0" fontId="31" fillId="8" borderId="17" xfId="0" applyFont="1" applyFill="1" applyBorder="1"/>
    <xf numFmtId="1" fontId="37" fillId="9" borderId="13" xfId="0" applyNumberFormat="1" applyFont="1" applyFill="1" applyBorder="1"/>
    <xf numFmtId="1" fontId="41" fillId="0" borderId="19" xfId="0" applyNumberFormat="1" applyFont="1" applyBorder="1"/>
    <xf numFmtId="1" fontId="37" fillId="9" borderId="19" xfId="0" applyNumberFormat="1" applyFont="1" applyFill="1" applyBorder="1"/>
    <xf numFmtId="1" fontId="16" fillId="0" borderId="19" xfId="0" applyNumberFormat="1" applyFont="1" applyBorder="1"/>
    <xf numFmtId="164" fontId="37" fillId="9" borderId="19" xfId="0" applyNumberFormat="1" applyFont="1" applyFill="1" applyBorder="1"/>
    <xf numFmtId="164" fontId="37" fillId="0" borderId="19" xfId="0" applyNumberFormat="1" applyFont="1" applyBorder="1"/>
    <xf numFmtId="1" fontId="37" fillId="0" borderId="19" xfId="0" applyNumberFormat="1" applyFont="1" applyBorder="1"/>
    <xf numFmtId="1" fontId="16" fillId="9" borderId="19" xfId="0" applyNumberFormat="1" applyFont="1" applyFill="1" applyBorder="1"/>
    <xf numFmtId="164" fontId="16" fillId="9" borderId="29" xfId="0" applyNumberFormat="1" applyFont="1" applyFill="1" applyBorder="1" applyAlignment="1">
      <alignment horizontal="right"/>
    </xf>
    <xf numFmtId="0" fontId="31" fillId="8" borderId="29" xfId="0" applyFont="1" applyFill="1" applyBorder="1" applyAlignment="1">
      <alignment horizontal="right"/>
    </xf>
    <xf numFmtId="9" fontId="30" fillId="8" borderId="29" xfId="0" applyNumberFormat="1" applyFont="1" applyFill="1" applyBorder="1" applyAlignment="1">
      <alignment horizontal="right"/>
    </xf>
    <xf numFmtId="9" fontId="30" fillId="8" borderId="40" xfId="0" applyNumberFormat="1" applyFont="1" applyFill="1" applyBorder="1" applyAlignment="1">
      <alignment horizontal="right"/>
    </xf>
    <xf numFmtId="9" fontId="30" fillId="8" borderId="23" xfId="0" applyNumberFormat="1" applyFont="1" applyFill="1" applyBorder="1"/>
    <xf numFmtId="9" fontId="30" fillId="8" borderId="24" xfId="0" applyNumberFormat="1" applyFont="1" applyFill="1" applyBorder="1"/>
    <xf numFmtId="0" fontId="32" fillId="8" borderId="23" xfId="0" applyFont="1" applyFill="1" applyBorder="1"/>
    <xf numFmtId="0" fontId="31" fillId="10" borderId="17" xfId="0" applyFont="1" applyFill="1" applyBorder="1" applyAlignment="1">
      <alignment horizontal="right"/>
    </xf>
    <xf numFmtId="0" fontId="31" fillId="8" borderId="23" xfId="0" applyFont="1" applyFill="1" applyBorder="1" applyAlignment="1">
      <alignment horizontal="right"/>
    </xf>
    <xf numFmtId="0" fontId="31" fillId="10" borderId="39" xfId="0" applyFont="1" applyFill="1" applyBorder="1" applyAlignment="1">
      <alignment horizontal="right"/>
    </xf>
    <xf numFmtId="1" fontId="41" fillId="9" borderId="13" xfId="0" applyNumberFormat="1" applyFont="1" applyFill="1" applyBorder="1"/>
    <xf numFmtId="164" fontId="16" fillId="0" borderId="19" xfId="0" applyNumberFormat="1" applyFont="1" applyBorder="1"/>
    <xf numFmtId="1" fontId="16" fillId="0" borderId="29" xfId="0" applyNumberFormat="1" applyFont="1" applyBorder="1"/>
    <xf numFmtId="164" fontId="30" fillId="12" borderId="29" xfId="0" applyNumberFormat="1" applyFont="1" applyFill="1" applyBorder="1"/>
    <xf numFmtId="1" fontId="30" fillId="8" borderId="32" xfId="0" applyNumberFormat="1" applyFont="1" applyFill="1" applyBorder="1"/>
    <xf numFmtId="1" fontId="30" fillId="10" borderId="16" xfId="0" applyNumberFormat="1" applyFont="1" applyFill="1" applyBorder="1"/>
    <xf numFmtId="1" fontId="30" fillId="8" borderId="16" xfId="0" applyNumberFormat="1" applyFont="1" applyFill="1" applyBorder="1"/>
    <xf numFmtId="1" fontId="30" fillId="8" borderId="22" xfId="0" applyNumberFormat="1" applyFont="1" applyFill="1" applyBorder="1"/>
    <xf numFmtId="1" fontId="30" fillId="10" borderId="38" xfId="0" applyNumberFormat="1" applyFont="1" applyFill="1" applyBorder="1"/>
    <xf numFmtId="0" fontId="18" fillId="0" borderId="0" xfId="0" applyFont="1" applyAlignment="1">
      <alignment horizontal="left" vertical="center"/>
    </xf>
    <xf numFmtId="0" fontId="0" fillId="0" borderId="7" xfId="0" applyBorder="1"/>
    <xf numFmtId="0" fontId="18" fillId="10" borderId="43" xfId="0" applyFont="1" applyFill="1" applyBorder="1"/>
    <xf numFmtId="0" fontId="0" fillId="0" borderId="0" xfId="0" applyAlignment="1">
      <alignment horizontal="center"/>
    </xf>
    <xf numFmtId="0" fontId="16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23" fillId="2" borderId="4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29" fillId="10" borderId="73" xfId="0" applyFont="1" applyFill="1" applyBorder="1" applyAlignment="1">
      <alignment horizontal="left"/>
    </xf>
    <xf numFmtId="0" fontId="24" fillId="6" borderId="8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27" xfId="0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17" borderId="27" xfId="0" applyFont="1" applyFill="1" applyBorder="1" applyAlignment="1">
      <alignment horizontal="center"/>
    </xf>
    <xf numFmtId="1" fontId="8" fillId="17" borderId="19" xfId="0" applyNumberFormat="1" applyFont="1" applyFill="1" applyBorder="1" applyAlignment="1">
      <alignment horizontal="center"/>
    </xf>
    <xf numFmtId="1" fontId="8" fillId="17" borderId="20" xfId="0" applyNumberFormat="1" applyFont="1" applyFill="1" applyBorder="1" applyAlignment="1">
      <alignment horizontal="center"/>
    </xf>
    <xf numFmtId="0" fontId="0" fillId="23" borderId="27" xfId="0" applyFill="1" applyBorder="1" applyAlignment="1">
      <alignment horizontal="center"/>
    </xf>
    <xf numFmtId="1" fontId="0" fillId="23" borderId="19" xfId="0" applyNumberFormat="1" applyFill="1" applyBorder="1" applyAlignment="1">
      <alignment horizontal="center"/>
    </xf>
    <xf numFmtId="1" fontId="0" fillId="23" borderId="20" xfId="0" applyNumberFormat="1" applyFill="1" applyBorder="1" applyAlignment="1">
      <alignment horizontal="center"/>
    </xf>
    <xf numFmtId="0" fontId="44" fillId="0" borderId="28" xfId="0" applyFont="1" applyBorder="1" applyAlignment="1">
      <alignment horizontal="center"/>
    </xf>
    <xf numFmtId="1" fontId="44" fillId="0" borderId="29" xfId="0" applyNumberFormat="1" applyFont="1" applyBorder="1" applyAlignment="1">
      <alignment horizontal="center"/>
    </xf>
    <xf numFmtId="1" fontId="44" fillId="0" borderId="30" xfId="0" applyNumberFormat="1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44" fillId="0" borderId="50" xfId="0" applyFont="1" applyBorder="1" applyAlignment="1">
      <alignment horizontal="center"/>
    </xf>
    <xf numFmtId="164" fontId="0" fillId="0" borderId="0" xfId="0" applyNumberFormat="1"/>
    <xf numFmtId="0" fontId="0" fillId="0" borderId="49" xfId="0" applyBorder="1" applyAlignment="1">
      <alignment horizontal="center"/>
    </xf>
    <xf numFmtId="0" fontId="0" fillId="0" borderId="1" xfId="0" applyBorder="1"/>
    <xf numFmtId="0" fontId="17" fillId="0" borderId="0" xfId="0" applyFont="1"/>
    <xf numFmtId="0" fontId="46" fillId="0" borderId="43" xfId="0" applyFont="1" applyBorder="1" applyAlignment="1">
      <alignment vertical="center" wrapText="1"/>
    </xf>
    <xf numFmtId="0" fontId="46" fillId="0" borderId="0" xfId="0" applyFont="1" applyAlignment="1">
      <alignment vertical="center" wrapText="1"/>
    </xf>
    <xf numFmtId="164" fontId="44" fillId="0" borderId="29" xfId="0" applyNumberFormat="1" applyFont="1" applyBorder="1" applyAlignment="1">
      <alignment horizontal="center"/>
    </xf>
    <xf numFmtId="164" fontId="44" fillId="0" borderId="30" xfId="0" applyNumberFormat="1" applyFont="1" applyBorder="1" applyAlignment="1">
      <alignment horizontal="center"/>
    </xf>
    <xf numFmtId="0" fontId="8" fillId="21" borderId="49" xfId="0" applyFont="1" applyFill="1" applyBorder="1" applyAlignment="1">
      <alignment horizontal="center"/>
    </xf>
    <xf numFmtId="1" fontId="8" fillId="21" borderId="19" xfId="0" applyNumberFormat="1" applyFont="1" applyFill="1" applyBorder="1" applyAlignment="1">
      <alignment horizontal="center"/>
    </xf>
    <xf numFmtId="1" fontId="8" fillId="21" borderId="20" xfId="0" applyNumberFormat="1" applyFont="1" applyFill="1" applyBorder="1" applyAlignment="1">
      <alignment horizontal="center"/>
    </xf>
    <xf numFmtId="0" fontId="14" fillId="17" borderId="49" xfId="0" applyFont="1" applyFill="1" applyBorder="1" applyAlignment="1">
      <alignment horizontal="center"/>
    </xf>
    <xf numFmtId="1" fontId="0" fillId="17" borderId="19" xfId="0" applyNumberFormat="1" applyFill="1" applyBorder="1" applyAlignment="1">
      <alignment horizontal="center"/>
    </xf>
    <xf numFmtId="1" fontId="0" fillId="17" borderId="20" xfId="0" applyNumberFormat="1" applyFill="1" applyBorder="1" applyAlignment="1">
      <alignment horizontal="center"/>
    </xf>
    <xf numFmtId="0" fontId="14" fillId="23" borderId="49" xfId="0" applyFont="1" applyFill="1" applyBorder="1" applyAlignment="1">
      <alignment horizontal="center"/>
    </xf>
    <xf numFmtId="0" fontId="29" fillId="0" borderId="9" xfId="0" applyFont="1" applyBorder="1" applyAlignment="1">
      <alignment horizontal="left"/>
    </xf>
    <xf numFmtId="164" fontId="30" fillId="0" borderId="10" xfId="0" applyNumberFormat="1" applyFont="1" applyBorder="1"/>
    <xf numFmtId="164" fontId="44" fillId="0" borderId="19" xfId="0" applyNumberFormat="1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0" fillId="0" borderId="76" xfId="0" applyBorder="1"/>
    <xf numFmtId="0" fontId="0" fillId="0" borderId="62" xfId="0" applyBorder="1"/>
    <xf numFmtId="0" fontId="0" fillId="0" borderId="56" xfId="0" applyBorder="1"/>
    <xf numFmtId="0" fontId="0" fillId="0" borderId="49" xfId="0" applyBorder="1"/>
    <xf numFmtId="0" fontId="0" fillId="0" borderId="77" xfId="0" applyBorder="1"/>
    <xf numFmtId="0" fontId="0" fillId="4" borderId="51" xfId="0" applyFill="1" applyBorder="1"/>
    <xf numFmtId="0" fontId="0" fillId="4" borderId="54" xfId="0" applyFill="1" applyBorder="1"/>
    <xf numFmtId="0" fontId="11" fillId="4" borderId="54" xfId="0" applyFont="1" applyFill="1" applyBorder="1"/>
    <xf numFmtId="0" fontId="0" fillId="4" borderId="52" xfId="0" applyFill="1" applyBorder="1"/>
    <xf numFmtId="0" fontId="0" fillId="4" borderId="53" xfId="0" applyFill="1" applyBorder="1"/>
    <xf numFmtId="0" fontId="0" fillId="4" borderId="57" xfId="0" applyFill="1" applyBorder="1"/>
    <xf numFmtId="0" fontId="0" fillId="4" borderId="66" xfId="0" applyFill="1" applyBorder="1"/>
    <xf numFmtId="0" fontId="0" fillId="4" borderId="0" xfId="0" applyFill="1"/>
    <xf numFmtId="0" fontId="0" fillId="4" borderId="65" xfId="0" applyFill="1" applyBorder="1"/>
    <xf numFmtId="0" fontId="0" fillId="0" borderId="0" xfId="0" applyBorder="1"/>
    <xf numFmtId="0" fontId="0" fillId="0" borderId="0" xfId="0" applyFill="1"/>
    <xf numFmtId="0" fontId="55" fillId="0" borderId="0" xfId="0" applyFont="1"/>
    <xf numFmtId="0" fontId="0" fillId="0" borderId="6" xfId="0" applyBorder="1"/>
    <xf numFmtId="0" fontId="14" fillId="0" borderId="56" xfId="0" applyFont="1" applyBorder="1" applyAlignment="1">
      <alignment horizontal="center"/>
    </xf>
    <xf numFmtId="1" fontId="14" fillId="0" borderId="25" xfId="0" applyNumberFormat="1" applyFont="1" applyBorder="1" applyAlignment="1">
      <alignment horizontal="center"/>
    </xf>
    <xf numFmtId="1" fontId="14" fillId="0" borderId="20" xfId="0" applyNumberFormat="1" applyFont="1" applyBorder="1" applyAlignment="1">
      <alignment horizontal="center"/>
    </xf>
    <xf numFmtId="1" fontId="14" fillId="0" borderId="26" xfId="0" applyNumberFormat="1" applyFont="1" applyBorder="1" applyAlignment="1">
      <alignment horizontal="center"/>
    </xf>
    <xf numFmtId="1" fontId="14" fillId="0" borderId="35" xfId="0" applyNumberFormat="1" applyFont="1" applyBorder="1" applyAlignment="1">
      <alignment horizontal="center"/>
    </xf>
    <xf numFmtId="0" fontId="9" fillId="22" borderId="59" xfId="0" applyFont="1" applyFill="1" applyBorder="1" applyAlignment="1">
      <alignment horizontal="center" vertical="center" wrapText="1"/>
    </xf>
    <xf numFmtId="0" fontId="0" fillId="22" borderId="43" xfId="0" applyFill="1" applyBorder="1" applyAlignment="1">
      <alignment horizontal="center" vertical="center"/>
    </xf>
    <xf numFmtId="0" fontId="0" fillId="22" borderId="44" xfId="0" applyFill="1" applyBorder="1" applyAlignment="1">
      <alignment horizontal="center" vertical="center"/>
    </xf>
    <xf numFmtId="0" fontId="0" fillId="22" borderId="46" xfId="0" applyFill="1" applyBorder="1" applyAlignment="1">
      <alignment horizontal="center" vertical="center"/>
    </xf>
    <xf numFmtId="0" fontId="0" fillId="22" borderId="0" xfId="0" applyFill="1" applyAlignment="1">
      <alignment horizontal="center" vertical="center"/>
    </xf>
    <xf numFmtId="0" fontId="0" fillId="22" borderId="45" xfId="0" applyFill="1" applyBorder="1" applyAlignment="1">
      <alignment horizontal="center" vertical="center"/>
    </xf>
    <xf numFmtId="0" fontId="0" fillId="22" borderId="1" xfId="0" applyFill="1" applyBorder="1" applyAlignment="1">
      <alignment horizontal="center" vertical="center"/>
    </xf>
    <xf numFmtId="0" fontId="0" fillId="22" borderId="2" xfId="0" applyFill="1" applyBorder="1" applyAlignment="1">
      <alignment horizontal="center" vertical="center"/>
    </xf>
    <xf numFmtId="0" fontId="0" fillId="22" borderId="3" xfId="0" applyFill="1" applyBorder="1" applyAlignment="1">
      <alignment horizontal="center" vertical="center"/>
    </xf>
    <xf numFmtId="0" fontId="34" fillId="4" borderId="64" xfId="0" applyFont="1" applyFill="1" applyBorder="1" applyAlignment="1">
      <alignment horizontal="left"/>
    </xf>
    <xf numFmtId="0" fontId="53" fillId="4" borderId="65" xfId="0" applyFont="1" applyFill="1" applyBorder="1" applyAlignment="1">
      <alignment horizontal="left"/>
    </xf>
    <xf numFmtId="0" fontId="22" fillId="0" borderId="5" xfId="0" applyFont="1" applyBorder="1"/>
    <xf numFmtId="0" fontId="0" fillId="0" borderId="6" xfId="0" applyBorder="1"/>
    <xf numFmtId="0" fontId="35" fillId="4" borderId="5" xfId="0" applyFont="1" applyFill="1" applyBorder="1" applyAlignment="1">
      <alignment horizontal="left" wrapText="1"/>
    </xf>
    <xf numFmtId="0" fontId="12" fillId="4" borderId="7" xfId="0" applyFont="1" applyFill="1" applyBorder="1" applyAlignment="1">
      <alignment horizontal="left" wrapText="1"/>
    </xf>
    <xf numFmtId="0" fontId="39" fillId="24" borderId="5" xfId="0" applyFont="1" applyFill="1" applyBorder="1" applyAlignment="1">
      <alignment horizontal="left" vertical="center"/>
    </xf>
    <xf numFmtId="0" fontId="40" fillId="4" borderId="7" xfId="0" applyFont="1" applyFill="1" applyBorder="1" applyAlignment="1">
      <alignment vertical="center"/>
    </xf>
    <xf numFmtId="0" fontId="39" fillId="24" borderId="5" xfId="0" applyFont="1" applyFill="1" applyBorder="1" applyAlignment="1">
      <alignment horizontal="left" vertical="center" wrapText="1"/>
    </xf>
    <xf numFmtId="0" fontId="34" fillId="4" borderId="7" xfId="0" applyFont="1" applyFill="1" applyBorder="1" applyAlignment="1">
      <alignment vertical="center"/>
    </xf>
    <xf numFmtId="0" fontId="33" fillId="4" borderId="5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4" borderId="6" xfId="0" applyFill="1" applyBorder="1"/>
    <xf numFmtId="0" fontId="0" fillId="4" borderId="7" xfId="0" applyFill="1" applyBorder="1"/>
    <xf numFmtId="0" fontId="49" fillId="4" borderId="5" xfId="0" applyFont="1" applyFill="1" applyBorder="1" applyAlignment="1">
      <alignment horizontal="left" wrapText="1"/>
    </xf>
    <xf numFmtId="0" fontId="35" fillId="4" borderId="7" xfId="0" applyFont="1" applyFill="1" applyBorder="1" applyAlignment="1">
      <alignment horizontal="left" wrapText="1"/>
    </xf>
    <xf numFmtId="0" fontId="39" fillId="24" borderId="1" xfId="0" applyFont="1" applyFill="1" applyBorder="1" applyAlignment="1">
      <alignment horizontal="left" vertical="center"/>
    </xf>
    <xf numFmtId="0" fontId="40" fillId="4" borderId="3" xfId="0" applyFont="1" applyFill="1" applyBorder="1" applyAlignment="1">
      <alignment horizontal="left" vertical="center"/>
    </xf>
    <xf numFmtId="0" fontId="2" fillId="17" borderId="47" xfId="0" applyFont="1" applyFill="1" applyBorder="1" applyAlignment="1">
      <alignment horizontal="center" vertical="center" wrapText="1"/>
    </xf>
    <xf numFmtId="0" fontId="2" fillId="17" borderId="48" xfId="0" applyFont="1" applyFill="1" applyBorder="1" applyAlignment="1">
      <alignment horizontal="center" vertical="center" wrapText="1"/>
    </xf>
    <xf numFmtId="0" fontId="2" fillId="17" borderId="8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5" fillId="14" borderId="41" xfId="0" applyFont="1" applyFill="1" applyBorder="1" applyAlignment="1">
      <alignment horizontal="center" vertical="center" wrapText="1"/>
    </xf>
    <xf numFmtId="0" fontId="5" fillId="14" borderId="42" xfId="0" applyFont="1" applyFill="1" applyBorder="1" applyAlignment="1">
      <alignment horizontal="center" vertical="center" wrapText="1"/>
    </xf>
    <xf numFmtId="0" fontId="2" fillId="15" borderId="59" xfId="0" applyFont="1" applyFill="1" applyBorder="1" applyAlignment="1">
      <alignment horizontal="center" vertical="center" wrapText="1"/>
    </xf>
    <xf numFmtId="0" fontId="2" fillId="15" borderId="48" xfId="0" applyFont="1" applyFill="1" applyBorder="1" applyAlignment="1">
      <alignment horizontal="center" vertical="center" wrapText="1"/>
    </xf>
    <xf numFmtId="0" fontId="2" fillId="15" borderId="8" xfId="0" applyFont="1" applyFill="1" applyBorder="1" applyAlignment="1">
      <alignment horizontal="center" vertical="center" wrapText="1"/>
    </xf>
    <xf numFmtId="0" fontId="1" fillId="0" borderId="74" xfId="0" applyFont="1" applyBorder="1" applyAlignment="1">
      <alignment horizontal="center"/>
    </xf>
    <xf numFmtId="0" fontId="2" fillId="16" borderId="47" xfId="0" applyFont="1" applyFill="1" applyBorder="1" applyAlignment="1">
      <alignment horizontal="center" vertical="center" wrapText="1"/>
    </xf>
    <xf numFmtId="0" fontId="2" fillId="16" borderId="48" xfId="0" applyFont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center" vertical="center" wrapText="1"/>
    </xf>
    <xf numFmtId="0" fontId="1" fillId="0" borderId="59" xfId="0" applyFont="1" applyBorder="1" applyAlignment="1">
      <alignment horizontal="center"/>
    </xf>
    <xf numFmtId="0" fontId="46" fillId="0" borderId="43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6" fillId="0" borderId="0" xfId="0" applyFont="1" applyAlignment="1">
      <alignment horizontal="center" vertical="center" wrapText="1"/>
    </xf>
    <xf numFmtId="0" fontId="2" fillId="15" borderId="4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ECF4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Abbott Hominex-1 to Early Yrs'!A1"/><Relationship Id="rId7" Type="http://schemas.openxmlformats.org/officeDocument/2006/relationships/hyperlink" Target="#'MJ HCY 1 to Next'!A1"/><Relationship Id="rId2" Type="http://schemas.openxmlformats.org/officeDocument/2006/relationships/hyperlink" Target="#'Early Years to HCU Anamix Next'!A1"/><Relationship Id="rId1" Type="http://schemas.openxmlformats.org/officeDocument/2006/relationships/hyperlink" Target="#'DRIs HCU Anamix Early Yrs'!A1"/><Relationship Id="rId6" Type="http://schemas.openxmlformats.org/officeDocument/2006/relationships/hyperlink" Target="#'MJ HCY 1 to Early Yrs'!A1"/><Relationship Id="rId5" Type="http://schemas.openxmlformats.org/officeDocument/2006/relationships/hyperlink" Target="#'Abbott Hominex-1 to Next'!A1"/><Relationship Id="rId4" Type="http://schemas.openxmlformats.org/officeDocument/2006/relationships/hyperlink" Target="#'DRIs HCU Anamix Next'!A1"/><Relationship Id="rId9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Hom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hyperlink" Target="#Hom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png"/><Relationship Id="rId1" Type="http://schemas.openxmlformats.org/officeDocument/2006/relationships/hyperlink" Target="#Hom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429028</xdr:colOff>
      <xdr:row>30</xdr:row>
      <xdr:rowOff>86471</xdr:rowOff>
    </xdr:from>
    <xdr:to>
      <xdr:col>22</xdr:col>
      <xdr:colOff>17930</xdr:colOff>
      <xdr:row>33</xdr:row>
      <xdr:rowOff>160056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849378" y="5553821"/>
          <a:ext cx="2779777" cy="61651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 cmpd="sng"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Transition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</a:t>
          </a: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Abbott's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Hominex®-1</a:t>
          </a:r>
          <a:endParaRPr lang="en-US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</xdr:col>
      <xdr:colOff>114299</xdr:colOff>
      <xdr:row>12</xdr:row>
      <xdr:rowOff>3460</xdr:rowOff>
    </xdr:from>
    <xdr:to>
      <xdr:col>8</xdr:col>
      <xdr:colOff>571500</xdr:colOff>
      <xdr:row>29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43124" y="2327560"/>
          <a:ext cx="2895601" cy="3387440"/>
        </a:xfrm>
        <a:prstGeom prst="roundRect">
          <a:avLst>
            <a:gd name="adj" fmla="val 4488"/>
          </a:avLst>
        </a:prstGeom>
        <a:solidFill>
          <a:schemeClr val="accent4">
            <a:lumMod val="40000"/>
            <a:lumOff val="60000"/>
          </a:schemeClr>
        </a:solidFill>
        <a:ln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HCU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®</a:t>
          </a:r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Early Years </a:t>
          </a:r>
          <a:endParaRPr lang="en-US" sz="900">
            <a:effectLst/>
            <a:latin typeface="+mn-lt"/>
            <a:cs typeface="Arial" panose="020B0604020202020204" pitchFamily="34" charset="0"/>
          </a:endParaRPr>
        </a:p>
        <a:p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HCU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 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Next</a:t>
          </a:r>
          <a:endParaRPr lang="en-US" sz="900" b="0" baseline="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endParaRPr lang="en-US" sz="900">
            <a:effectLst/>
            <a:latin typeface="+mn-lt"/>
            <a:cs typeface="Arial" panose="020B0604020202020204" pitchFamily="34" charset="0"/>
          </a:endParaRPr>
        </a:p>
        <a:p>
          <a:pPr algn="ctr"/>
          <a:r>
            <a:rPr lang="en-US" sz="1200" b="1" u="sng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DRI Charts</a:t>
          </a:r>
        </a:p>
        <a:p>
          <a:pPr algn="ctr"/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This is a great interactive tool to ensure your patients' nutritional needs are met!</a:t>
          </a:r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Please refer to the appropriate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product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tab at the bottom of the page. </a:t>
          </a:r>
        </a:p>
        <a:p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the bright yellow box type in the grams of protein equivalent (PE) your patient receives from the product and press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the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enter key. You will then see in Column B the amount of macro- &amp; micro-nutrients your patient will receive with our product. Then look to the right to see how these values compare to the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DRI in the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appropriate age group column.</a:t>
          </a:r>
          <a:endParaRPr lang="en-US" sz="1000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301916</xdr:colOff>
      <xdr:row>11</xdr:row>
      <xdr:rowOff>179295</xdr:rowOff>
    </xdr:from>
    <xdr:to>
      <xdr:col>14</xdr:col>
      <xdr:colOff>571500</xdr:colOff>
      <xdr:row>28</xdr:row>
      <xdr:rowOff>56029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949681" y="2319619"/>
          <a:ext cx="2690054" cy="3115234"/>
        </a:xfrm>
        <a:prstGeom prst="roundRect">
          <a:avLst>
            <a:gd name="adj" fmla="val 4356"/>
          </a:avLst>
        </a:prstGeom>
        <a:solidFill>
          <a:schemeClr val="accent1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HCU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Early Years to HCU Anamix Next</a:t>
          </a:r>
        </a:p>
        <a:p>
          <a:pPr eaLnBrk="1" fontAlgn="auto" latinLnBrk="0" hangingPunct="1"/>
          <a:endParaRPr lang="en-US" sz="900">
            <a:effectLst/>
            <a:latin typeface="+mn-lt"/>
            <a:cs typeface="Arial" panose="020B0604020202020204" pitchFamily="34" charset="0"/>
          </a:endParaRPr>
        </a:p>
        <a:p>
          <a:pPr algn="ctr"/>
          <a:r>
            <a:rPr lang="en-US" sz="1200" b="1" u="sng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Transitioning</a:t>
          </a:r>
          <a:r>
            <a:rPr lang="en-US" sz="1200" b="1" u="sng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from Early Years </a:t>
          </a:r>
        </a:p>
        <a:p>
          <a:pPr algn="ctr"/>
          <a:r>
            <a:rPr lang="en-US" sz="1200" b="1" u="sng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to the Next Stage</a:t>
          </a:r>
        </a:p>
        <a:p>
          <a:pPr algn="ctr"/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Please refer to the "Early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Years to HCU Anamix Next",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tab at the bottom of the page.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the bright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y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ellow box type in the grams PE your patient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requires and press the enter key. You will then see multiple options for a step-by-step transition.</a:t>
          </a:r>
          <a:endParaRPr lang="en-US" sz="1000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4133</xdr:colOff>
      <xdr:row>34</xdr:row>
      <xdr:rowOff>165207</xdr:rowOff>
    </xdr:from>
    <xdr:to>
      <xdr:col>4</xdr:col>
      <xdr:colOff>491378</xdr:colOff>
      <xdr:row>37</xdr:row>
      <xdr:rowOff>176547</xdr:rowOff>
    </xdr:to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16074" y="6687031"/>
          <a:ext cx="1092363" cy="58284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baseline="0">
              <a:latin typeface="+mn-lt"/>
              <a:cs typeface="Arial" panose="020B0604020202020204" pitchFamily="34" charset="0"/>
            </a:rPr>
            <a:t>HCU Anamix Early Years DRIs</a:t>
          </a:r>
          <a:endParaRPr lang="en-US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288929</xdr:colOff>
      <xdr:row>34</xdr:row>
      <xdr:rowOff>143042</xdr:rowOff>
    </xdr:from>
    <xdr:to>
      <xdr:col>13</xdr:col>
      <xdr:colOff>489857</xdr:colOff>
      <xdr:row>37</xdr:row>
      <xdr:rowOff>143495</xdr:rowOff>
    </xdr:to>
    <xdr:sp macro="" textlink="">
      <xdr:nvSpPr>
        <xdr:cNvPr id="9" name="TextBox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938286" y="6347899"/>
          <a:ext cx="1489071" cy="54473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HCU Anamix Early Years to HCU Anamix Next</a:t>
          </a:r>
          <a:endParaRPr lang="en-US" sz="1000" b="1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208973</xdr:colOff>
      <xdr:row>30</xdr:row>
      <xdr:rowOff>98668</xdr:rowOff>
    </xdr:from>
    <xdr:to>
      <xdr:col>22</xdr:col>
      <xdr:colOff>18848</xdr:colOff>
      <xdr:row>31</xdr:row>
      <xdr:rowOff>175728</xdr:rowOff>
    </xdr:to>
    <xdr:sp macro="" textlink="">
      <xdr:nvSpPr>
        <xdr:cNvPr id="10" name="TextBox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1950700" y="5588532"/>
          <a:ext cx="1732193" cy="258901"/>
        </a:xfrm>
        <a:prstGeom prst="rect">
          <a:avLst/>
        </a:prstGeom>
        <a:solidFill>
          <a:schemeClr val="accent6">
            <a:lumMod val="5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to HCU Anamix</a:t>
          </a:r>
          <a:r>
            <a:rPr lang="en-US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Early Years</a:t>
          </a:r>
          <a:endParaRPr lang="en-US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563860</xdr:colOff>
      <xdr:row>30</xdr:row>
      <xdr:rowOff>14772</xdr:rowOff>
    </xdr:from>
    <xdr:to>
      <xdr:col>14</xdr:col>
      <xdr:colOff>244493</xdr:colOff>
      <xdr:row>32</xdr:row>
      <xdr:rowOff>161976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211625" y="5774596"/>
          <a:ext cx="2101103" cy="5282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rgbClr val="FF0000"/>
              </a:solidFill>
              <a:effectLst/>
              <a:latin typeface="Arial Rounded MT Bold" panose="020F0704030504030204" pitchFamily="34" charset="0"/>
            </a:rPr>
            <a:t>Click here to visit the tab you need!   </a:t>
          </a:r>
        </a:p>
      </xdr:txBody>
    </xdr:sp>
    <xdr:clientData/>
  </xdr:twoCellAnchor>
  <xdr:twoCellAnchor>
    <xdr:from>
      <xdr:col>12</xdr:col>
      <xdr:colOff>354106</xdr:colOff>
      <xdr:row>32</xdr:row>
      <xdr:rowOff>155201</xdr:rowOff>
    </xdr:from>
    <xdr:to>
      <xdr:col>12</xdr:col>
      <xdr:colOff>361950</xdr:colOff>
      <xdr:row>34</xdr:row>
      <xdr:rowOff>111125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7583581" y="5984501"/>
          <a:ext cx="7844" cy="317874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244493</xdr:colOff>
      <xdr:row>31</xdr:row>
      <xdr:rowOff>88374</xdr:rowOff>
    </xdr:from>
    <xdr:to>
      <xdr:col>17</xdr:col>
      <xdr:colOff>134471</xdr:colOff>
      <xdr:row>33</xdr:row>
      <xdr:rowOff>134470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stCxn id="13" idx="3"/>
        </xdr:cNvCxnSpPr>
      </xdr:nvCxnSpPr>
      <xdr:spPr>
        <a:xfrm>
          <a:off x="8312728" y="6038698"/>
          <a:ext cx="1705331" cy="427096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112059</xdr:colOff>
      <xdr:row>31</xdr:row>
      <xdr:rowOff>49613</xdr:rowOff>
    </xdr:from>
    <xdr:to>
      <xdr:col>10</xdr:col>
      <xdr:colOff>581385</xdr:colOff>
      <xdr:row>34</xdr:row>
      <xdr:rowOff>11205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3339353" y="5999937"/>
          <a:ext cx="2889797" cy="533092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44268</xdr:colOff>
      <xdr:row>34</xdr:row>
      <xdr:rowOff>173694</xdr:rowOff>
    </xdr:from>
    <xdr:to>
      <xdr:col>6</xdr:col>
      <xdr:colOff>522433</xdr:colOff>
      <xdr:row>37</xdr:row>
      <xdr:rowOff>188434</xdr:rowOff>
    </xdr:to>
    <xdr:sp macro="" textlink="">
      <xdr:nvSpPr>
        <xdr:cNvPr id="20" name="TextBox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666444" y="6695518"/>
          <a:ext cx="1083283" cy="58624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HCU Anamix Next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DRIs</a:t>
          </a:r>
          <a:endParaRPr lang="en-US" sz="900">
            <a:effectLst/>
          </a:endParaRPr>
        </a:p>
      </xdr:txBody>
    </xdr:sp>
    <xdr:clientData/>
  </xdr:twoCellAnchor>
  <xdr:twoCellAnchor>
    <xdr:from>
      <xdr:col>17</xdr:col>
      <xdr:colOff>406401</xdr:colOff>
      <xdr:row>34</xdr:row>
      <xdr:rowOff>57934</xdr:rowOff>
    </xdr:from>
    <xdr:to>
      <xdr:col>22</xdr:col>
      <xdr:colOff>56031</xdr:colOff>
      <xdr:row>37</xdr:row>
      <xdr:rowOff>129886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866583" y="6275161"/>
          <a:ext cx="2853493" cy="6174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9050" cmpd="sng"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Transition </a:t>
          </a:r>
          <a:r>
            <a:rPr lang="en-US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</a:t>
          </a: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Mead Johnson's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HCY 1 </a:t>
          </a:r>
          <a:endParaRPr lang="en-US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15</xdr:col>
      <xdr:colOff>581024</xdr:colOff>
      <xdr:row>11</xdr:row>
      <xdr:rowOff>134471</xdr:rowOff>
    </xdr:from>
    <xdr:to>
      <xdr:col>20</xdr:col>
      <xdr:colOff>428625</xdr:colOff>
      <xdr:row>29</xdr:row>
      <xdr:rowOff>33617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254377" y="2274795"/>
          <a:ext cx="2873189" cy="3328146"/>
        </a:xfrm>
        <a:prstGeom prst="roundRect">
          <a:avLst>
            <a:gd name="adj" fmla="val 4488"/>
          </a:avLst>
        </a:prstGeom>
        <a:solidFill>
          <a:schemeClr val="accent6">
            <a:lumMod val="40000"/>
            <a:lumOff val="60000"/>
          </a:schemeClr>
        </a:solidFill>
        <a:ln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900" b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Hominex-1</a:t>
          </a:r>
          <a:r>
            <a:rPr lang="en-US" sz="900" b="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®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to HCU Anamix</a:t>
          </a:r>
          <a:r>
            <a:rPr lang="en-US" sz="900" b="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®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Early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- 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Hominex-1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HCU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Next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HCY 1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HCU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Early Years</a:t>
          </a:r>
          <a:endParaRPr lang="en-US" sz="900">
            <a:effectLst/>
          </a:endParaRPr>
        </a:p>
        <a:p>
          <a:pPr eaLnBrk="1" fontAlgn="auto" latinLnBrk="0" hangingPunct="1"/>
          <a:r>
            <a:rPr lang="en-US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HCY 1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HCU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Next</a:t>
          </a:r>
          <a:endParaRPr lang="en-US" sz="900">
            <a:effectLst/>
          </a:endParaRPr>
        </a:p>
        <a:p>
          <a:pPr algn="ctr" eaLnBrk="1" fontAlgn="auto" latinLnBrk="0" hangingPunct="1"/>
          <a:endParaRPr lang="en-US" sz="9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  <a:p>
          <a:pPr algn="ctr"/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Transitioning from Other Brands</a:t>
          </a:r>
          <a:r>
            <a:rPr lang="en-US" sz="12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</a:p>
        <a:p>
          <a:pPr algn="ctr"/>
          <a:r>
            <a:rPr lang="en-US" sz="12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to Anamix</a:t>
          </a:r>
        </a:p>
        <a:p>
          <a:pPr algn="ctr"/>
          <a:endParaRPr lang="en-US" sz="10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Please refer to the " Abbott Hominex-1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to Early Yrs", "Abbott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Hominex-1 to Next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", "MJ HCY 1 to Early Yrs", &amp; "MJ HCY 1 to Next"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tabs at the bottom of the page.</a:t>
          </a:r>
          <a:endParaRPr lang="en-US" sz="9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endParaRPr lang="en-US" sz="9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the bright yellow box type in the grams PE your patient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requires and press the enter key.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You will then see multiple options for a step-by-step transition</a:t>
          </a:r>
          <a:endParaRPr lang="en-US" sz="9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193964</xdr:colOff>
      <xdr:row>32</xdr:row>
      <xdr:rowOff>69784</xdr:rowOff>
    </xdr:from>
    <xdr:to>
      <xdr:col>22</xdr:col>
      <xdr:colOff>10189</xdr:colOff>
      <xdr:row>33</xdr:row>
      <xdr:rowOff>154573</xdr:rowOff>
    </xdr:to>
    <xdr:sp macro="" textlink="">
      <xdr:nvSpPr>
        <xdr:cNvPr id="33" name="TextBox 3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37088E9-7F3D-41A9-92F0-DE8EE2A8A6C6}"/>
            </a:ext>
          </a:extLst>
        </xdr:cNvPr>
        <xdr:cNvSpPr txBox="1"/>
      </xdr:nvSpPr>
      <xdr:spPr>
        <a:xfrm>
          <a:off x="11935691" y="5923329"/>
          <a:ext cx="1738543" cy="266630"/>
        </a:xfrm>
        <a:prstGeom prst="rect">
          <a:avLst/>
        </a:prstGeom>
        <a:solidFill>
          <a:schemeClr val="accent6">
            <a:lumMod val="75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to HCU Anamix </a:t>
          </a:r>
          <a:r>
            <a:rPr lang="en-US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Next</a:t>
          </a:r>
          <a:endParaRPr lang="en-US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237259</xdr:colOff>
      <xdr:row>34</xdr:row>
      <xdr:rowOff>74965</xdr:rowOff>
    </xdr:from>
    <xdr:to>
      <xdr:col>22</xdr:col>
      <xdr:colOff>35926</xdr:colOff>
      <xdr:row>35</xdr:row>
      <xdr:rowOff>148495</xdr:rowOff>
    </xdr:to>
    <xdr:sp macro="" textlink="">
      <xdr:nvSpPr>
        <xdr:cNvPr id="37" name="TextBox 3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08EA26E-D737-4146-830D-A6020BBD954F}"/>
            </a:ext>
          </a:extLst>
        </xdr:cNvPr>
        <xdr:cNvSpPr txBox="1"/>
      </xdr:nvSpPr>
      <xdr:spPr>
        <a:xfrm>
          <a:off x="11978986" y="6292192"/>
          <a:ext cx="1720985" cy="255371"/>
        </a:xfrm>
        <a:prstGeom prst="rect">
          <a:avLst/>
        </a:prstGeom>
        <a:solidFill>
          <a:schemeClr val="accent5">
            <a:lumMod val="5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to HCU Anamix</a:t>
          </a:r>
          <a:r>
            <a:rPr lang="en-US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Early Years</a:t>
          </a:r>
          <a:endParaRPr lang="en-US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241877</xdr:colOff>
      <xdr:row>36</xdr:row>
      <xdr:rowOff>32449</xdr:rowOff>
    </xdr:from>
    <xdr:to>
      <xdr:col>22</xdr:col>
      <xdr:colOff>53244</xdr:colOff>
      <xdr:row>37</xdr:row>
      <xdr:rowOff>117238</xdr:rowOff>
    </xdr:to>
    <xdr:sp macro="" textlink="">
      <xdr:nvSpPr>
        <xdr:cNvPr id="39" name="TextBox 3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E229029-089D-46F7-B14F-05C8EADBB58C}"/>
            </a:ext>
          </a:extLst>
        </xdr:cNvPr>
        <xdr:cNvSpPr txBox="1"/>
      </xdr:nvSpPr>
      <xdr:spPr>
        <a:xfrm>
          <a:off x="11983604" y="6613358"/>
          <a:ext cx="1733685" cy="266630"/>
        </a:xfrm>
        <a:prstGeom prst="rect">
          <a:avLst/>
        </a:prstGeom>
        <a:solidFill>
          <a:schemeClr val="accent5">
            <a:lumMod val="75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to HCU Anamix </a:t>
          </a:r>
          <a:r>
            <a:rPr lang="en-US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Next</a:t>
          </a:r>
          <a:endParaRPr lang="en-US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250031</xdr:colOff>
      <xdr:row>2</xdr:row>
      <xdr:rowOff>44450</xdr:rowOff>
    </xdr:from>
    <xdr:to>
      <xdr:col>3</xdr:col>
      <xdr:colOff>387350</xdr:colOff>
      <xdr:row>12</xdr:row>
      <xdr:rowOff>2856</xdr:rowOff>
    </xdr:to>
    <xdr:pic>
      <xdr:nvPicPr>
        <xdr:cNvPr id="29" name="Picture 28" descr="HCU Anamix® Early Years">
          <a:extLst>
            <a:ext uri="{FF2B5EF4-FFF2-40B4-BE49-F238E27FC236}">
              <a16:creationId xmlns:a16="http://schemas.microsoft.com/office/drawing/2014/main" id="{EC8C3509-330C-450A-8A3A-213EBD706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344" y="425450"/>
          <a:ext cx="1420019" cy="1764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211138</xdr:colOff>
      <xdr:row>2</xdr:row>
      <xdr:rowOff>47624</xdr:rowOff>
    </xdr:from>
    <xdr:to>
      <xdr:col>23</xdr:col>
      <xdr:colOff>356079</xdr:colOff>
      <xdr:row>11</xdr:row>
      <xdr:rowOff>166687</xdr:rowOff>
    </xdr:to>
    <xdr:pic>
      <xdr:nvPicPr>
        <xdr:cNvPr id="30" name="Picture 29" descr="[HCU Anamix® Next]">
          <a:extLst>
            <a:ext uri="{FF2B5EF4-FFF2-40B4-BE49-F238E27FC236}">
              <a16:creationId xmlns:a16="http://schemas.microsoft.com/office/drawing/2014/main" id="{B006A0A9-B016-4AE2-8A43-95E0318D9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4201" y="428624"/>
          <a:ext cx="1430816" cy="1750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10433</xdr:colOff>
      <xdr:row>38</xdr:row>
      <xdr:rowOff>136072</xdr:rowOff>
    </xdr:from>
    <xdr:to>
      <xdr:col>12</xdr:col>
      <xdr:colOff>432955</xdr:colOff>
      <xdr:row>43</xdr:row>
      <xdr:rowOff>49327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D60F113-4930-448B-B2A2-5CA67DC12143}"/>
            </a:ext>
          </a:extLst>
        </xdr:cNvPr>
        <xdr:cNvSpPr txBox="1"/>
      </xdr:nvSpPr>
      <xdr:spPr>
        <a:xfrm>
          <a:off x="859024" y="7080663"/>
          <a:ext cx="6830249" cy="82245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 u="sng">
              <a:latin typeface="Arial" panose="020B0604020202020204" pitchFamily="34" charset="0"/>
              <a:cs typeface="Arial" panose="020B0604020202020204" pitchFamily="34" charset="0"/>
            </a:rPr>
            <a:t>Further Questions/Assistance?</a:t>
          </a:r>
        </a:p>
        <a:p>
          <a:r>
            <a:rPr lang="en-US" sz="1100" i="1">
              <a:latin typeface="Arial" panose="020B0604020202020204" pitchFamily="34" charset="0"/>
              <a:cs typeface="Arial" panose="020B0604020202020204" pitchFamily="34" charset="0"/>
            </a:rPr>
            <a:t>Please reach out to our Nutrition Services Department: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2200" b="1">
              <a:solidFill>
                <a:srgbClr val="FF33CC"/>
              </a:solidFill>
              <a:latin typeface="Arial" panose="020B0604020202020204" pitchFamily="34" charset="0"/>
              <a:cs typeface="Arial" panose="020B0604020202020204" pitchFamily="34" charset="0"/>
            </a:rPr>
            <a:t>→</a:t>
          </a:r>
          <a:r>
            <a:rPr lang="en-US" sz="2200" b="1" baseline="0">
              <a:solidFill>
                <a:srgbClr val="FF33CC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 b="0" u="none">
              <a:latin typeface="Arial" panose="020B0604020202020204" pitchFamily="34" charset="0"/>
              <a:cs typeface="Arial" panose="020B0604020202020204" pitchFamily="34" charset="0"/>
            </a:rPr>
            <a:t>Email</a:t>
          </a:r>
          <a:r>
            <a:rPr lang="en-US" sz="1100" b="1" u="none">
              <a:latin typeface="Arial" panose="020B0604020202020204" pitchFamily="34" charset="0"/>
              <a:cs typeface="Arial" panose="020B0604020202020204" pitchFamily="34" charset="0"/>
            </a:rPr>
            <a:t> NutritionServices@nutricia.com</a:t>
          </a:r>
          <a:r>
            <a:rPr lang="en-US" sz="1100" b="1" u="none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 u="none" baseline="0">
              <a:latin typeface="Arial" panose="020B0604020202020204" pitchFamily="34" charset="0"/>
              <a:cs typeface="Arial" panose="020B0604020202020204" pitchFamily="34" charset="0"/>
            </a:rPr>
            <a:t>or call </a:t>
          </a:r>
          <a:r>
            <a:rPr lang="en-US" sz="1100" b="1" u="none" baseline="0">
              <a:latin typeface="Arial" panose="020B0604020202020204" pitchFamily="34" charset="0"/>
              <a:cs typeface="Arial" panose="020B0604020202020204" pitchFamily="34" charset="0"/>
            </a:rPr>
            <a:t>1-800-365-7354</a:t>
          </a:r>
          <a:r>
            <a:rPr lang="en-US" sz="1100" u="none" baseline="0">
              <a:latin typeface="Arial" panose="020B0604020202020204" pitchFamily="34" charset="0"/>
              <a:cs typeface="Arial" panose="020B0604020202020204" pitchFamily="34" charset="0"/>
            </a:rPr>
            <a:t> (</a:t>
          </a:r>
          <a:r>
            <a:rPr lang="en-US" sz="1100" u="none">
              <a:latin typeface="Arial" panose="020B0604020202020204" pitchFamily="34" charset="0"/>
              <a:cs typeface="Arial" panose="020B0604020202020204" pitchFamily="34" charset="0"/>
            </a:rPr>
            <a:t>Mon-Fri from 8:30 am</a:t>
          </a:r>
          <a:r>
            <a:rPr lang="en-US" sz="1100" u="none" baseline="0">
              <a:latin typeface="Arial" panose="020B0604020202020204" pitchFamily="34" charset="0"/>
              <a:cs typeface="Arial" panose="020B0604020202020204" pitchFamily="34" charset="0"/>
            </a:rPr>
            <a:t> - 5</a:t>
          </a:r>
          <a:r>
            <a:rPr lang="en-US" sz="1100" u="none">
              <a:latin typeface="Arial" panose="020B0604020202020204" pitchFamily="34" charset="0"/>
              <a:cs typeface="Arial" panose="020B0604020202020204" pitchFamily="34" charset="0"/>
            </a:rPr>
            <a:t> pm EST)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3</xdr:row>
      <xdr:rowOff>19050</xdr:rowOff>
    </xdr:from>
    <xdr:to>
      <xdr:col>10</xdr:col>
      <xdr:colOff>470430</xdr:colOff>
      <xdr:row>5</xdr:row>
      <xdr:rowOff>171450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77150" y="1743075"/>
          <a:ext cx="1299105" cy="533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8</xdr:col>
      <xdr:colOff>74085</xdr:colOff>
      <xdr:row>0</xdr:row>
      <xdr:rowOff>137583</xdr:rowOff>
    </xdr:from>
    <xdr:to>
      <xdr:col>10</xdr:col>
      <xdr:colOff>201084</xdr:colOff>
      <xdr:row>2</xdr:row>
      <xdr:rowOff>331392</xdr:rowOff>
    </xdr:to>
    <xdr:pic>
      <xdr:nvPicPr>
        <xdr:cNvPr id="4" name="Picture 3" descr="HCU Anamix® Early Years">
          <a:extLst>
            <a:ext uri="{FF2B5EF4-FFF2-40B4-BE49-F238E27FC236}">
              <a16:creationId xmlns:a16="http://schemas.microsoft.com/office/drawing/2014/main" id="{75DFE09F-BC32-46B6-A282-ABA700F4B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3918" y="137583"/>
          <a:ext cx="1058333" cy="1343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0</xdr:rowOff>
    </xdr:from>
    <xdr:to>
      <xdr:col>12</xdr:col>
      <xdr:colOff>495541</xdr:colOff>
      <xdr:row>6</xdr:row>
      <xdr:rowOff>46759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2F9771-68E8-4C98-A7B1-AADDE2838A76}"/>
            </a:ext>
          </a:extLst>
        </xdr:cNvPr>
        <xdr:cNvSpPr txBox="1"/>
      </xdr:nvSpPr>
      <xdr:spPr>
        <a:xfrm>
          <a:off x="7827818" y="1731818"/>
          <a:ext cx="1292178" cy="61825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10</xdr:col>
      <xdr:colOff>116418</xdr:colOff>
      <xdr:row>0</xdr:row>
      <xdr:rowOff>158750</xdr:rowOff>
    </xdr:from>
    <xdr:to>
      <xdr:col>12</xdr:col>
      <xdr:colOff>373753</xdr:colOff>
      <xdr:row>2</xdr:row>
      <xdr:rowOff>497417</xdr:rowOff>
    </xdr:to>
    <xdr:pic>
      <xdr:nvPicPr>
        <xdr:cNvPr id="6" name="Picture 5" descr="[HCU Anamix® Next]">
          <a:extLst>
            <a:ext uri="{FF2B5EF4-FFF2-40B4-BE49-F238E27FC236}">
              <a16:creationId xmlns:a16="http://schemas.microsoft.com/office/drawing/2014/main" id="{061CB329-EF60-4C05-9625-941F8850E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3251" y="158750"/>
          <a:ext cx="1185494" cy="1478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285753</xdr:colOff>
      <xdr:row>17</xdr:row>
      <xdr:rowOff>18731</xdr:rowOff>
    </xdr:from>
    <xdr:to>
      <xdr:col>9</xdr:col>
      <xdr:colOff>426508</xdr:colOff>
      <xdr:row>18</xdr:row>
      <xdr:rowOff>171450</xdr:rowOff>
    </xdr:to>
    <xdr:cxnSp macro="">
      <xdr:nvCxnSpPr>
        <xdr:cNvPr id="4" name="Curved Connector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>
          <a:cxnSpLocks/>
        </xdr:cNvCxnSpPr>
      </xdr:nvCxnSpPr>
      <xdr:spPr>
        <a:xfrm flipV="1">
          <a:off x="7010403" y="3914456"/>
          <a:ext cx="778930" cy="343219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0</xdr:row>
      <xdr:rowOff>123825</xdr:rowOff>
    </xdr:from>
    <xdr:to>
      <xdr:col>13</xdr:col>
      <xdr:colOff>499005</xdr:colOff>
      <xdr:row>1</xdr:row>
      <xdr:rowOff>85725</xdr:rowOff>
    </xdr:to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8343900" y="123825"/>
          <a:ext cx="1299105" cy="533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6</xdr:col>
      <xdr:colOff>209551</xdr:colOff>
      <xdr:row>16</xdr:row>
      <xdr:rowOff>66675</xdr:rowOff>
    </xdr:from>
    <xdr:to>
      <xdr:col>8</xdr:col>
      <xdr:colOff>66676</xdr:colOff>
      <xdr:row>24</xdr:row>
      <xdr:rowOff>28481</xdr:rowOff>
    </xdr:to>
    <xdr:pic>
      <xdr:nvPicPr>
        <xdr:cNvPr id="8" name="Picture 7" descr="HCU Anamix® Early Years">
          <a:extLst>
            <a:ext uri="{FF2B5EF4-FFF2-40B4-BE49-F238E27FC236}">
              <a16:creationId xmlns:a16="http://schemas.microsoft.com/office/drawing/2014/main" id="{45DA7484-A14B-41CD-BAAA-B13058FEF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1" y="3781425"/>
          <a:ext cx="1133475" cy="1428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561975</xdr:colOff>
      <xdr:row>13</xdr:row>
      <xdr:rowOff>114300</xdr:rowOff>
    </xdr:from>
    <xdr:to>
      <xdr:col>11</xdr:col>
      <xdr:colOff>244475</xdr:colOff>
      <xdr:row>20</xdr:row>
      <xdr:rowOff>115641</xdr:rowOff>
    </xdr:to>
    <xdr:pic>
      <xdr:nvPicPr>
        <xdr:cNvPr id="9" name="Picture 8" descr="[HCU Anamix® Next]">
          <a:extLst>
            <a:ext uri="{FF2B5EF4-FFF2-40B4-BE49-F238E27FC236}">
              <a16:creationId xmlns:a16="http://schemas.microsoft.com/office/drawing/2014/main" id="{7E76349E-163F-4039-ACBA-B6CCDE0DD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276600"/>
          <a:ext cx="1035050" cy="1287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245371</xdr:colOff>
      <xdr:row>18</xdr:row>
      <xdr:rowOff>103961</xdr:rowOff>
    </xdr:from>
    <xdr:to>
      <xdr:col>10</xdr:col>
      <xdr:colOff>111776</xdr:colOff>
      <xdr:row>23</xdr:row>
      <xdr:rowOff>407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 flipV="1">
          <a:off x="6965788" y="4167961"/>
          <a:ext cx="1136405" cy="806613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78441</xdr:colOff>
      <xdr:row>0</xdr:row>
      <xdr:rowOff>123265</xdr:rowOff>
    </xdr:from>
    <xdr:to>
      <xdr:col>14</xdr:col>
      <xdr:colOff>476872</xdr:colOff>
      <xdr:row>1</xdr:row>
      <xdr:rowOff>84465</xdr:rowOff>
    </xdr:to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8919882" y="123265"/>
          <a:ext cx="1294902" cy="5327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10</xdr:col>
      <xdr:colOff>197909</xdr:colOff>
      <xdr:row>14</xdr:row>
      <xdr:rowOff>45509</xdr:rowOff>
    </xdr:from>
    <xdr:to>
      <xdr:col>11</xdr:col>
      <xdr:colOff>592666</xdr:colOff>
      <xdr:row>21</xdr:row>
      <xdr:rowOff>56330</xdr:rowOff>
    </xdr:to>
    <xdr:pic>
      <xdr:nvPicPr>
        <xdr:cNvPr id="7" name="Picture 6" descr="HCU Anamix® Early Years">
          <a:extLst>
            <a:ext uri="{FF2B5EF4-FFF2-40B4-BE49-F238E27FC236}">
              <a16:creationId xmlns:a16="http://schemas.microsoft.com/office/drawing/2014/main" id="{32048F14-E875-4017-9238-51D61C68D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8326" y="3379259"/>
          <a:ext cx="1029757" cy="1291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52917</xdr:colOff>
      <xdr:row>20</xdr:row>
      <xdr:rowOff>28574</xdr:rowOff>
    </xdr:from>
    <xdr:to>
      <xdr:col>8</xdr:col>
      <xdr:colOff>171553</xdr:colOff>
      <xdr:row>27</xdr:row>
      <xdr:rowOff>120650</xdr:rowOff>
    </xdr:to>
    <xdr:pic>
      <xdr:nvPicPr>
        <xdr:cNvPr id="8" name="Picture 7" descr="Hominex&lt;sup&gt;®&lt;/sup&gt;-1">
          <a:extLst>
            <a:ext uri="{FF2B5EF4-FFF2-40B4-BE49-F238E27FC236}">
              <a16:creationId xmlns:a16="http://schemas.microsoft.com/office/drawing/2014/main" id="{F45CE535-485B-4AB8-9B08-9DCCD47CF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3334" y="4462991"/>
          <a:ext cx="1388636" cy="1365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71805</xdr:colOff>
      <xdr:row>18</xdr:row>
      <xdr:rowOff>149469</xdr:rowOff>
    </xdr:from>
    <xdr:to>
      <xdr:col>9</xdr:col>
      <xdr:colOff>570035</xdr:colOff>
      <xdr:row>23</xdr:row>
      <xdr:rowOff>39565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9EE30BE7-58F5-4824-B3EF-54CDCB328722}"/>
            </a:ext>
          </a:extLst>
        </xdr:cNvPr>
        <xdr:cNvCxnSpPr/>
      </xdr:nvCxnSpPr>
      <xdr:spPr>
        <a:xfrm flipV="1">
          <a:off x="6510705" y="4378569"/>
          <a:ext cx="1107830" cy="852121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89648</xdr:colOff>
      <xdr:row>0</xdr:row>
      <xdr:rowOff>145677</xdr:rowOff>
    </xdr:from>
    <xdr:to>
      <xdr:col>14</xdr:col>
      <xdr:colOff>488079</xdr:colOff>
      <xdr:row>1</xdr:row>
      <xdr:rowOff>106877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5B0FF2-ADCE-4092-8EC4-13442DA91A87}"/>
            </a:ext>
          </a:extLst>
        </xdr:cNvPr>
        <xdr:cNvSpPr txBox="1"/>
      </xdr:nvSpPr>
      <xdr:spPr>
        <a:xfrm>
          <a:off x="8931089" y="145677"/>
          <a:ext cx="1294902" cy="5327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6</xdr:col>
      <xdr:colOff>57150</xdr:colOff>
      <xdr:row>19</xdr:row>
      <xdr:rowOff>105835</xdr:rowOff>
    </xdr:from>
    <xdr:to>
      <xdr:col>7</xdr:col>
      <xdr:colOff>610658</xdr:colOff>
      <xdr:row>26</xdr:row>
      <xdr:rowOff>95251</xdr:rowOff>
    </xdr:to>
    <xdr:pic>
      <xdr:nvPicPr>
        <xdr:cNvPr id="6" name="Picture 5" descr="Hominex&lt;sup&gt;®&lt;/sup&gt;-1">
          <a:extLst>
            <a:ext uri="{FF2B5EF4-FFF2-40B4-BE49-F238E27FC236}">
              <a16:creationId xmlns:a16="http://schemas.microsoft.com/office/drawing/2014/main" id="{0F6F0678-9AA1-4F38-BEBF-B35050550F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29"/>
        <a:stretch/>
      </xdr:blipFill>
      <xdr:spPr bwMode="auto">
        <a:xfrm>
          <a:off x="5507567" y="4349752"/>
          <a:ext cx="1188508" cy="1269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14</xdr:row>
      <xdr:rowOff>84666</xdr:rowOff>
    </xdr:from>
    <xdr:to>
      <xdr:col>11</xdr:col>
      <xdr:colOff>550494</xdr:colOff>
      <xdr:row>22</xdr:row>
      <xdr:rowOff>102658</xdr:rowOff>
    </xdr:to>
    <xdr:pic>
      <xdr:nvPicPr>
        <xdr:cNvPr id="8" name="Picture 7" descr="[HCU Anamix® Next]">
          <a:extLst>
            <a:ext uri="{FF2B5EF4-FFF2-40B4-BE49-F238E27FC236}">
              <a16:creationId xmlns:a16="http://schemas.microsoft.com/office/drawing/2014/main" id="{A9C3EC5E-B7C6-4D8F-B51B-1F49DAD09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0417" y="3418416"/>
          <a:ext cx="1185494" cy="1481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71805</xdr:colOff>
      <xdr:row>18</xdr:row>
      <xdr:rowOff>149469</xdr:rowOff>
    </xdr:from>
    <xdr:to>
      <xdr:col>9</xdr:col>
      <xdr:colOff>570035</xdr:colOff>
      <xdr:row>23</xdr:row>
      <xdr:rowOff>39565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C364451E-379E-4193-BD05-3BCFF04F8CB4}"/>
            </a:ext>
          </a:extLst>
        </xdr:cNvPr>
        <xdr:cNvCxnSpPr/>
      </xdr:nvCxnSpPr>
      <xdr:spPr>
        <a:xfrm flipV="1">
          <a:off x="6510705" y="4378569"/>
          <a:ext cx="1107830" cy="852121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67236</xdr:colOff>
      <xdr:row>0</xdr:row>
      <xdr:rowOff>123264</xdr:rowOff>
    </xdr:from>
    <xdr:to>
      <xdr:col>14</xdr:col>
      <xdr:colOff>465667</xdr:colOff>
      <xdr:row>1</xdr:row>
      <xdr:rowOff>84464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85FD58-0EC3-45A2-8C65-E355607B811B}"/>
            </a:ext>
          </a:extLst>
        </xdr:cNvPr>
        <xdr:cNvSpPr txBox="1"/>
      </xdr:nvSpPr>
      <xdr:spPr>
        <a:xfrm>
          <a:off x="8908677" y="123264"/>
          <a:ext cx="1294902" cy="5327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5</xdr:col>
      <xdr:colOff>511176</xdr:colOff>
      <xdr:row>19</xdr:row>
      <xdr:rowOff>68867</xdr:rowOff>
    </xdr:from>
    <xdr:to>
      <xdr:col>8</xdr:col>
      <xdr:colOff>232833</xdr:colOff>
      <xdr:row>27</xdr:row>
      <xdr:rowOff>69146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613B92E-F989-475B-B215-B0AE9CCCA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6593" y="4312784"/>
          <a:ext cx="1626657" cy="1460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42334</xdr:colOff>
      <xdr:row>13</xdr:row>
      <xdr:rowOff>93806</xdr:rowOff>
    </xdr:from>
    <xdr:to>
      <xdr:col>11</xdr:col>
      <xdr:colOff>610535</xdr:colOff>
      <xdr:row>21</xdr:row>
      <xdr:rowOff>151341</xdr:rowOff>
    </xdr:to>
    <xdr:pic>
      <xdr:nvPicPr>
        <xdr:cNvPr id="7" name="Picture 6" descr="HCU Anamix® Early Years">
          <a:extLst>
            <a:ext uri="{FF2B5EF4-FFF2-40B4-BE49-F238E27FC236}">
              <a16:creationId xmlns:a16="http://schemas.microsoft.com/office/drawing/2014/main" id="{A655AEEE-6921-42B7-8A67-8975FA1B1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2751" y="3247639"/>
          <a:ext cx="1203201" cy="1518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71805</xdr:colOff>
      <xdr:row>18</xdr:row>
      <xdr:rowOff>149469</xdr:rowOff>
    </xdr:from>
    <xdr:to>
      <xdr:col>9</xdr:col>
      <xdr:colOff>570035</xdr:colOff>
      <xdr:row>23</xdr:row>
      <xdr:rowOff>39565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AEC24768-0D76-43A3-9BDA-B5B00699095A}"/>
            </a:ext>
          </a:extLst>
        </xdr:cNvPr>
        <xdr:cNvCxnSpPr/>
      </xdr:nvCxnSpPr>
      <xdr:spPr>
        <a:xfrm flipV="1">
          <a:off x="6510705" y="4378569"/>
          <a:ext cx="1107830" cy="852121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89648</xdr:colOff>
      <xdr:row>0</xdr:row>
      <xdr:rowOff>145677</xdr:rowOff>
    </xdr:from>
    <xdr:to>
      <xdr:col>14</xdr:col>
      <xdr:colOff>488079</xdr:colOff>
      <xdr:row>1</xdr:row>
      <xdr:rowOff>106877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623595-8179-4E1F-A8C3-149DD6A74E7C}"/>
            </a:ext>
          </a:extLst>
        </xdr:cNvPr>
        <xdr:cNvSpPr txBox="1"/>
      </xdr:nvSpPr>
      <xdr:spPr>
        <a:xfrm>
          <a:off x="8966948" y="145677"/>
          <a:ext cx="1293781" cy="5327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5</xdr:col>
      <xdr:colOff>518583</xdr:colOff>
      <xdr:row>19</xdr:row>
      <xdr:rowOff>52916</xdr:rowOff>
    </xdr:from>
    <xdr:to>
      <xdr:col>8</xdr:col>
      <xdr:colOff>240240</xdr:colOff>
      <xdr:row>27</xdr:row>
      <xdr:rowOff>50020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C0549CE-C2B2-45FA-A5FA-AC8133848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4296833"/>
          <a:ext cx="1623482" cy="1460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621241</xdr:colOff>
      <xdr:row>14</xdr:row>
      <xdr:rowOff>21166</xdr:rowOff>
    </xdr:from>
    <xdr:to>
      <xdr:col>11</xdr:col>
      <xdr:colOff>539910</xdr:colOff>
      <xdr:row>22</xdr:row>
      <xdr:rowOff>45508</xdr:rowOff>
    </xdr:to>
    <xdr:pic>
      <xdr:nvPicPr>
        <xdr:cNvPr id="7" name="Picture 6" descr="[HCU Anamix® Next]">
          <a:extLst>
            <a:ext uri="{FF2B5EF4-FFF2-40B4-BE49-F238E27FC236}">
              <a16:creationId xmlns:a16="http://schemas.microsoft.com/office/drawing/2014/main" id="{62D5E4D7-27F1-4CC8-867C-3D84AD176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6658" y="3354916"/>
          <a:ext cx="1191844" cy="1481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X47"/>
  <sheetViews>
    <sheetView showGridLines="0" showRowColHeaders="0" tabSelected="1" zoomScale="78" zoomScaleNormal="78" workbookViewId="0"/>
  </sheetViews>
  <sheetFormatPr defaultColWidth="9.1796875" defaultRowHeight="14.5" x14ac:dyDescent="0.35"/>
  <cols>
    <col min="1" max="1" width="3" customWidth="1"/>
  </cols>
  <sheetData>
    <row r="1" spans="2:24" ht="15" thickBot="1" x14ac:dyDescent="0.4"/>
    <row r="2" spans="2:24" ht="15" thickTop="1" x14ac:dyDescent="0.35">
      <c r="B2" s="318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2"/>
    </row>
    <row r="3" spans="2:24" ht="15" thickBot="1" x14ac:dyDescent="0.4">
      <c r="B3" s="319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323"/>
    </row>
    <row r="4" spans="2:24" x14ac:dyDescent="0.35">
      <c r="B4" s="319"/>
      <c r="C4" s="5"/>
      <c r="D4" s="6"/>
      <c r="E4" s="336" t="s">
        <v>95</v>
      </c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8"/>
      <c r="V4" s="6"/>
      <c r="W4" s="7"/>
      <c r="X4" s="323"/>
    </row>
    <row r="5" spans="2:24" x14ac:dyDescent="0.35">
      <c r="B5" s="319"/>
      <c r="C5" s="5"/>
      <c r="D5" s="6"/>
      <c r="E5" s="339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1"/>
      <c r="V5" s="6"/>
      <c r="W5" s="7"/>
      <c r="X5" s="323"/>
    </row>
    <row r="6" spans="2:24" x14ac:dyDescent="0.35">
      <c r="B6" s="319"/>
      <c r="C6" s="5"/>
      <c r="D6" s="6"/>
      <c r="E6" s="339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1"/>
      <c r="V6" s="6"/>
      <c r="W6" s="7"/>
      <c r="X6" s="323"/>
    </row>
    <row r="7" spans="2:24" x14ac:dyDescent="0.35">
      <c r="B7" s="319"/>
      <c r="C7" s="5"/>
      <c r="D7" s="6"/>
      <c r="E7" s="339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1"/>
      <c r="V7" s="6"/>
      <c r="W7" s="7"/>
      <c r="X7" s="323"/>
    </row>
    <row r="8" spans="2:24" x14ac:dyDescent="0.35">
      <c r="B8" s="319"/>
      <c r="C8" s="5"/>
      <c r="D8" s="6"/>
      <c r="E8" s="339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1"/>
      <c r="V8" s="6"/>
      <c r="W8" s="7"/>
      <c r="X8" s="323"/>
    </row>
    <row r="9" spans="2:24" x14ac:dyDescent="0.35">
      <c r="B9" s="319"/>
      <c r="C9" s="5"/>
      <c r="D9" s="6"/>
      <c r="E9" s="339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1"/>
      <c r="V9" s="6"/>
      <c r="W9" s="7"/>
      <c r="X9" s="323"/>
    </row>
    <row r="10" spans="2:24" ht="15" thickBot="1" x14ac:dyDescent="0.4">
      <c r="B10" s="319"/>
      <c r="C10" s="5"/>
      <c r="D10" s="6"/>
      <c r="E10" s="342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4"/>
      <c r="V10" s="6"/>
      <c r="W10" s="7"/>
      <c r="X10" s="323"/>
    </row>
    <row r="11" spans="2:24" x14ac:dyDescent="0.35">
      <c r="B11" s="319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7"/>
      <c r="X11" s="323"/>
    </row>
    <row r="12" spans="2:24" x14ac:dyDescent="0.35">
      <c r="B12" s="319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7"/>
      <c r="X12" s="323"/>
    </row>
    <row r="13" spans="2:24" x14ac:dyDescent="0.35">
      <c r="B13" s="319"/>
      <c r="C13" s="8"/>
      <c r="W13" s="9"/>
      <c r="X13" s="323"/>
    </row>
    <row r="14" spans="2:24" x14ac:dyDescent="0.35">
      <c r="B14" s="319"/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  <c r="X14" s="323"/>
    </row>
    <row r="15" spans="2:24" x14ac:dyDescent="0.35">
      <c r="B15" s="319"/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7"/>
      <c r="X15" s="323"/>
    </row>
    <row r="16" spans="2:24" x14ac:dyDescent="0.35">
      <c r="B16" s="319"/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"/>
      <c r="X16" s="323"/>
    </row>
    <row r="17" spans="2:24" x14ac:dyDescent="0.35">
      <c r="B17" s="319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  <c r="X17" s="323"/>
    </row>
    <row r="18" spans="2:24" x14ac:dyDescent="0.35">
      <c r="B18" s="319"/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7"/>
      <c r="X18" s="323"/>
    </row>
    <row r="19" spans="2:24" x14ac:dyDescent="0.35">
      <c r="B19" s="319"/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7"/>
      <c r="X19" s="323"/>
    </row>
    <row r="20" spans="2:24" x14ac:dyDescent="0.35">
      <c r="B20" s="319"/>
      <c r="C20" s="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  <c r="X20" s="323"/>
    </row>
    <row r="21" spans="2:24" x14ac:dyDescent="0.35">
      <c r="B21" s="319"/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7"/>
      <c r="X21" s="323"/>
    </row>
    <row r="22" spans="2:24" x14ac:dyDescent="0.35">
      <c r="B22" s="319"/>
      <c r="C22" s="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7"/>
      <c r="X22" s="323"/>
    </row>
    <row r="23" spans="2:24" x14ac:dyDescent="0.35">
      <c r="B23" s="319"/>
      <c r="C23" s="5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  <c r="X23" s="323"/>
    </row>
    <row r="24" spans="2:24" x14ac:dyDescent="0.35">
      <c r="B24" s="319"/>
      <c r="C24" s="5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7"/>
      <c r="X24" s="323"/>
    </row>
    <row r="25" spans="2:24" x14ac:dyDescent="0.35">
      <c r="B25" s="319"/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7"/>
      <c r="X25" s="323"/>
    </row>
    <row r="26" spans="2:24" x14ac:dyDescent="0.35">
      <c r="B26" s="319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7"/>
      <c r="X26" s="323"/>
    </row>
    <row r="27" spans="2:24" x14ac:dyDescent="0.35">
      <c r="B27" s="320"/>
      <c r="C27" s="8"/>
      <c r="W27" s="9"/>
      <c r="X27" s="323"/>
    </row>
    <row r="28" spans="2:24" x14ac:dyDescent="0.35">
      <c r="B28" s="319"/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7"/>
      <c r="X28" s="323"/>
    </row>
    <row r="29" spans="2:24" x14ac:dyDescent="0.35">
      <c r="B29" s="319"/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7"/>
      <c r="X29" s="323"/>
    </row>
    <row r="30" spans="2:24" x14ac:dyDescent="0.35">
      <c r="B30" s="319"/>
      <c r="C30" s="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7"/>
      <c r="X30" s="323"/>
    </row>
    <row r="31" spans="2:24" x14ac:dyDescent="0.35">
      <c r="B31" s="319"/>
      <c r="C31" s="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7"/>
      <c r="X31" s="323"/>
    </row>
    <row r="32" spans="2:24" x14ac:dyDescent="0.35">
      <c r="B32" s="319"/>
      <c r="C32" s="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7"/>
      <c r="X32" s="323"/>
    </row>
    <row r="33" spans="2:24" x14ac:dyDescent="0.35">
      <c r="B33" s="319"/>
      <c r="C33" s="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7"/>
      <c r="X33" s="323"/>
    </row>
    <row r="34" spans="2:24" x14ac:dyDescent="0.35">
      <c r="B34" s="319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7"/>
      <c r="X34" s="323"/>
    </row>
    <row r="35" spans="2:24" x14ac:dyDescent="0.35">
      <c r="B35" s="319"/>
      <c r="C35" s="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7"/>
      <c r="X35" s="323"/>
    </row>
    <row r="36" spans="2:24" x14ac:dyDescent="0.35">
      <c r="B36" s="319"/>
      <c r="C36" s="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7"/>
      <c r="X36" s="323"/>
    </row>
    <row r="37" spans="2:24" x14ac:dyDescent="0.35">
      <c r="B37" s="319"/>
      <c r="C37" s="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7"/>
      <c r="X37" s="323"/>
    </row>
    <row r="38" spans="2:24" x14ac:dyDescent="0.35">
      <c r="B38" s="319"/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2"/>
      <c r="X38" s="323"/>
    </row>
    <row r="39" spans="2:24" x14ac:dyDescent="0.35">
      <c r="B39" s="319"/>
      <c r="C39" s="325"/>
      <c r="D39" s="325"/>
      <c r="E39" s="325"/>
      <c r="F39" s="325"/>
      <c r="G39" s="325"/>
      <c r="H39" s="325"/>
      <c r="I39" s="325"/>
      <c r="J39" s="325"/>
      <c r="K39" s="325"/>
      <c r="L39" s="325"/>
      <c r="M39" s="325"/>
      <c r="N39" s="325"/>
      <c r="O39" s="325"/>
      <c r="P39" s="325"/>
      <c r="Q39" s="325"/>
      <c r="R39" s="325"/>
      <c r="S39" s="325"/>
      <c r="T39" s="325"/>
      <c r="U39" s="325"/>
      <c r="V39" s="325"/>
      <c r="W39" s="325"/>
      <c r="X39" s="323"/>
    </row>
    <row r="40" spans="2:24" x14ac:dyDescent="0.35">
      <c r="B40" s="319"/>
      <c r="C40" s="325"/>
      <c r="D40" s="325"/>
      <c r="E40" s="325"/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325"/>
      <c r="Q40" s="325"/>
      <c r="R40" s="325"/>
      <c r="S40" s="325"/>
      <c r="T40" s="325"/>
      <c r="U40" s="325"/>
      <c r="V40" s="325"/>
      <c r="W40" s="325"/>
      <c r="X40" s="323"/>
    </row>
    <row r="41" spans="2:24" x14ac:dyDescent="0.35">
      <c r="B41" s="319"/>
      <c r="C41" s="325"/>
      <c r="D41" s="325"/>
      <c r="E41" s="325"/>
      <c r="F41" s="325"/>
      <c r="G41" s="325"/>
      <c r="H41" s="325"/>
      <c r="I41" s="325"/>
      <c r="J41" s="325"/>
      <c r="K41" s="325"/>
      <c r="L41" s="325"/>
      <c r="M41" s="325"/>
      <c r="N41" s="325"/>
      <c r="O41" s="325"/>
      <c r="P41" s="325"/>
      <c r="Q41" s="325"/>
      <c r="R41" s="325"/>
      <c r="S41" s="325"/>
      <c r="T41" s="325"/>
      <c r="U41" s="325"/>
      <c r="V41" s="325"/>
      <c r="W41" s="325"/>
      <c r="X41" s="323"/>
    </row>
    <row r="42" spans="2:24" x14ac:dyDescent="0.35">
      <c r="B42" s="319"/>
      <c r="C42" s="325"/>
      <c r="D42" s="325"/>
      <c r="E42" s="325"/>
      <c r="F42" s="325"/>
      <c r="G42" s="325"/>
      <c r="H42" s="325"/>
      <c r="I42" s="325"/>
      <c r="J42" s="325"/>
      <c r="K42" s="325"/>
      <c r="L42" s="325"/>
      <c r="M42" s="325"/>
      <c r="N42" s="325"/>
      <c r="O42" s="325"/>
      <c r="P42" s="325"/>
      <c r="Q42" s="325"/>
      <c r="R42" s="325"/>
      <c r="S42" s="325"/>
      <c r="T42" s="325"/>
      <c r="U42" s="325"/>
      <c r="V42" s="325"/>
      <c r="W42" s="325"/>
      <c r="X42" s="323"/>
    </row>
    <row r="43" spans="2:24" x14ac:dyDescent="0.35">
      <c r="B43" s="319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325"/>
      <c r="W43" s="325"/>
      <c r="X43" s="323"/>
    </row>
    <row r="44" spans="2:24" x14ac:dyDescent="0.35">
      <c r="B44" s="319"/>
      <c r="C44" s="325"/>
      <c r="D44" s="325"/>
      <c r="E44" s="325"/>
      <c r="F44" s="325"/>
      <c r="G44" s="325"/>
      <c r="H44" s="325"/>
      <c r="I44" s="325"/>
      <c r="J44" s="325"/>
      <c r="K44" s="325"/>
      <c r="L44" s="325"/>
      <c r="M44" s="325"/>
      <c r="N44" s="325"/>
      <c r="O44" s="325"/>
      <c r="P44" s="325"/>
      <c r="Q44" s="325"/>
      <c r="R44" s="325"/>
      <c r="S44" s="325"/>
      <c r="T44" s="325"/>
      <c r="U44" s="325"/>
      <c r="V44" s="325"/>
      <c r="W44" s="325"/>
      <c r="X44" s="323"/>
    </row>
    <row r="45" spans="2:24" ht="16" thickBot="1" x14ac:dyDescent="0.4">
      <c r="B45" s="345" t="s">
        <v>106</v>
      </c>
      <c r="C45" s="346"/>
      <c r="D45" s="346"/>
      <c r="E45" s="346"/>
      <c r="F45" s="346"/>
      <c r="G45" s="34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4"/>
    </row>
    <row r="46" spans="2:24" ht="15" thickTop="1" x14ac:dyDescent="0.35">
      <c r="B46" s="258" t="s">
        <v>96</v>
      </c>
    </row>
    <row r="47" spans="2:24" x14ac:dyDescent="0.35">
      <c r="B47" t="s">
        <v>109</v>
      </c>
    </row>
  </sheetData>
  <sheetProtection algorithmName="SHA-512" hashValue="hyAUZrYlnw0qgpPo976KbHSIg79fyiKxxnKhoeNDCwjBpQIL7gmZB+i1t8/eEaOBWPkw781wF6PpFyWjmvLu+w==" saltValue="Pf7094zWdzlovheI8DNE3A==" spinCount="100000" sheet="1" objects="1" scenarios="1"/>
  <mergeCells count="2">
    <mergeCell ref="E4:U10"/>
    <mergeCell ref="B45:G4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H51"/>
  <sheetViews>
    <sheetView showGridLines="0" zoomScale="90" zoomScaleNormal="90" workbookViewId="0">
      <selection activeCell="A3" sqref="A3:B3"/>
    </sheetView>
  </sheetViews>
  <sheetFormatPr defaultColWidth="9.1796875" defaultRowHeight="14.5" x14ac:dyDescent="0.35"/>
  <cols>
    <col min="1" max="1" width="26.1796875" customWidth="1"/>
    <col min="2" max="2" width="14.26953125" customWidth="1"/>
    <col min="3" max="8" width="12.26953125" customWidth="1"/>
    <col min="9" max="9" width="4.26953125" customWidth="1"/>
  </cols>
  <sheetData>
    <row r="1" spans="1:8" ht="15" thickBot="1" x14ac:dyDescent="0.4">
      <c r="A1" s="347" t="s">
        <v>0</v>
      </c>
      <c r="B1" s="348"/>
      <c r="C1" s="348"/>
      <c r="D1" s="348"/>
      <c r="E1" s="348"/>
      <c r="F1" s="348"/>
      <c r="G1" s="330"/>
      <c r="H1" s="259"/>
    </row>
    <row r="2" spans="1:8" ht="75" customHeight="1" thickBot="1" x14ac:dyDescent="0.4">
      <c r="A2" s="15" t="s">
        <v>64</v>
      </c>
      <c r="B2" s="16">
        <v>0</v>
      </c>
      <c r="C2" s="355" t="s">
        <v>97</v>
      </c>
      <c r="D2" s="356"/>
      <c r="E2" s="356"/>
      <c r="F2" s="356"/>
      <c r="G2" s="356"/>
      <c r="H2" s="357"/>
    </row>
    <row r="3" spans="1:8" ht="45" customHeight="1" thickBot="1" x14ac:dyDescent="0.5">
      <c r="A3" s="349" t="s">
        <v>106</v>
      </c>
      <c r="B3" s="350"/>
      <c r="C3" s="17" t="s">
        <v>84</v>
      </c>
      <c r="D3" s="17" t="s">
        <v>58</v>
      </c>
      <c r="E3" s="18" t="s">
        <v>85</v>
      </c>
      <c r="F3" s="18" t="s">
        <v>59</v>
      </c>
      <c r="G3" s="143" t="s">
        <v>57</v>
      </c>
      <c r="H3" s="143" t="s">
        <v>60</v>
      </c>
    </row>
    <row r="4" spans="1:8" x14ac:dyDescent="0.35">
      <c r="A4" s="107" t="s">
        <v>2</v>
      </c>
      <c r="B4" s="108">
        <f>B2*100/13.5</f>
        <v>0</v>
      </c>
      <c r="C4" s="109"/>
      <c r="D4" s="110"/>
      <c r="E4" s="109"/>
      <c r="F4" s="111"/>
      <c r="G4" s="123"/>
      <c r="H4" s="112"/>
    </row>
    <row r="5" spans="1:8" x14ac:dyDescent="0.35">
      <c r="A5" s="20" t="s">
        <v>68</v>
      </c>
      <c r="B5" s="21">
        <f>20/100*B4</f>
        <v>0</v>
      </c>
      <c r="C5" s="22"/>
      <c r="D5" s="23"/>
      <c r="E5" s="22"/>
      <c r="F5" s="24"/>
      <c r="G5" s="119"/>
      <c r="H5" s="106"/>
    </row>
    <row r="6" spans="1:8" x14ac:dyDescent="0.35">
      <c r="A6" s="26" t="s">
        <v>51</v>
      </c>
      <c r="B6" s="27">
        <f>473/100*B4</f>
        <v>0</v>
      </c>
      <c r="C6" s="28"/>
      <c r="D6" s="29"/>
      <c r="E6" s="28"/>
      <c r="F6" s="30"/>
      <c r="G6" s="120"/>
      <c r="H6" s="31"/>
    </row>
    <row r="7" spans="1:8" x14ac:dyDescent="0.35">
      <c r="A7" s="32" t="s">
        <v>4</v>
      </c>
      <c r="B7" s="33">
        <f>13.5/100*B4</f>
        <v>0</v>
      </c>
      <c r="C7" s="34">
        <v>9.1</v>
      </c>
      <c r="D7" s="35">
        <f>B7/C7</f>
        <v>0</v>
      </c>
      <c r="E7" s="36">
        <v>11</v>
      </c>
      <c r="F7" s="128">
        <f>B7/E7</f>
        <v>0</v>
      </c>
      <c r="G7" s="131">
        <v>13</v>
      </c>
      <c r="H7" s="43">
        <f>B7/G7</f>
        <v>0</v>
      </c>
    </row>
    <row r="8" spans="1:8" ht="14.25" customHeight="1" x14ac:dyDescent="0.35">
      <c r="A8" s="26" t="s">
        <v>5</v>
      </c>
      <c r="B8" s="27">
        <f>23/100*B4</f>
        <v>0</v>
      </c>
      <c r="C8" s="28">
        <v>31</v>
      </c>
      <c r="D8" s="29">
        <f>B8/C8</f>
        <v>0</v>
      </c>
      <c r="E8" s="28">
        <v>30</v>
      </c>
      <c r="F8" s="37">
        <f>B8/E8</f>
        <v>0</v>
      </c>
      <c r="G8" s="120" t="s">
        <v>22</v>
      </c>
      <c r="H8" s="31"/>
    </row>
    <row r="9" spans="1:8" x14ac:dyDescent="0.35">
      <c r="A9" s="113" t="s">
        <v>53</v>
      </c>
      <c r="B9" s="39">
        <f>7.5/100*B4</f>
        <v>0</v>
      </c>
      <c r="C9" s="40"/>
      <c r="D9" s="41"/>
      <c r="E9" s="40"/>
      <c r="F9" s="42"/>
      <c r="G9" s="121"/>
      <c r="H9" s="43"/>
    </row>
    <row r="10" spans="1:8" x14ac:dyDescent="0.35">
      <c r="A10" s="114" t="s">
        <v>54</v>
      </c>
      <c r="B10" s="44">
        <f>9.4/100*B4</f>
        <v>0</v>
      </c>
      <c r="C10" s="45"/>
      <c r="D10" s="46"/>
      <c r="E10" s="45"/>
      <c r="F10" s="47"/>
      <c r="G10" s="125"/>
      <c r="H10" s="48"/>
    </row>
    <row r="11" spans="1:8" x14ac:dyDescent="0.35">
      <c r="A11" s="113" t="s">
        <v>55</v>
      </c>
      <c r="B11" s="39">
        <f>5/100*B4</f>
        <v>0</v>
      </c>
      <c r="C11" s="40"/>
      <c r="D11" s="41"/>
      <c r="E11" s="40"/>
      <c r="F11" s="42"/>
      <c r="G11" s="121"/>
      <c r="H11" s="43"/>
    </row>
    <row r="12" spans="1:8" x14ac:dyDescent="0.35">
      <c r="A12" s="115" t="s">
        <v>65</v>
      </c>
      <c r="B12" s="50">
        <f>70/100*B4</f>
        <v>0</v>
      </c>
      <c r="C12" s="51"/>
      <c r="D12" s="52"/>
      <c r="E12" s="51"/>
      <c r="F12" s="53"/>
      <c r="G12" s="126"/>
      <c r="H12" s="54"/>
    </row>
    <row r="13" spans="1:8" x14ac:dyDescent="0.35">
      <c r="A13" s="116" t="s">
        <v>66</v>
      </c>
      <c r="B13" s="55">
        <f>140/100*B4</f>
        <v>0</v>
      </c>
      <c r="C13" s="56"/>
      <c r="D13" s="57"/>
      <c r="E13" s="56"/>
      <c r="F13" s="58"/>
      <c r="G13" s="127"/>
      <c r="H13" s="59"/>
    </row>
    <row r="14" spans="1:8" x14ac:dyDescent="0.35">
      <c r="A14" s="117" t="s">
        <v>67</v>
      </c>
      <c r="B14" s="60">
        <f>3500/100*B4</f>
        <v>0</v>
      </c>
      <c r="C14" s="61">
        <v>4400</v>
      </c>
      <c r="D14" s="62">
        <f>B14/C14</f>
        <v>0</v>
      </c>
      <c r="E14" s="61">
        <v>4600</v>
      </c>
      <c r="F14" s="63">
        <f>B14/E14</f>
        <v>0</v>
      </c>
      <c r="G14" s="130">
        <v>7000</v>
      </c>
      <c r="H14" s="54">
        <f>B14/G14</f>
        <v>0</v>
      </c>
    </row>
    <row r="15" spans="1:8" x14ac:dyDescent="0.35">
      <c r="A15" s="64" t="s">
        <v>6</v>
      </c>
      <c r="B15" s="65">
        <f>53/100*B4</f>
        <v>0</v>
      </c>
      <c r="C15" s="66">
        <v>60</v>
      </c>
      <c r="D15" s="67">
        <f>B15/C15</f>
        <v>0</v>
      </c>
      <c r="E15" s="66">
        <v>95</v>
      </c>
      <c r="F15" s="67">
        <f>B15/E15</f>
        <v>0</v>
      </c>
      <c r="G15" s="129">
        <v>130</v>
      </c>
      <c r="H15" s="68">
        <f>B15/G15</f>
        <v>0</v>
      </c>
    </row>
    <row r="16" spans="1:8" ht="15" thickBot="1" x14ac:dyDescent="0.4">
      <c r="A16" s="118" t="s">
        <v>48</v>
      </c>
      <c r="B16" s="69">
        <f>5.3/100*B4</f>
        <v>0</v>
      </c>
      <c r="C16" s="70" t="s">
        <v>22</v>
      </c>
      <c r="D16" s="71"/>
      <c r="E16" s="70" t="s">
        <v>22</v>
      </c>
      <c r="F16" s="72"/>
      <c r="G16" s="153">
        <v>19</v>
      </c>
      <c r="H16" s="73">
        <f>B16/G16</f>
        <v>0</v>
      </c>
    </row>
    <row r="17" spans="1:8" ht="38.25" customHeight="1" thickBot="1" x14ac:dyDescent="0.4">
      <c r="A17" s="351" t="s">
        <v>7</v>
      </c>
      <c r="B17" s="352"/>
      <c r="C17" s="74" t="s">
        <v>84</v>
      </c>
      <c r="D17" s="74" t="s">
        <v>58</v>
      </c>
      <c r="E17" s="19" t="s">
        <v>85</v>
      </c>
      <c r="F17" s="75" t="s">
        <v>59</v>
      </c>
      <c r="G17" s="143" t="s">
        <v>57</v>
      </c>
      <c r="H17" s="144" t="s">
        <v>60</v>
      </c>
    </row>
    <row r="18" spans="1:8" x14ac:dyDescent="0.35">
      <c r="A18" s="20" t="s">
        <v>8</v>
      </c>
      <c r="B18" s="21">
        <f>392/100*B4</f>
        <v>0</v>
      </c>
      <c r="C18" s="22">
        <v>400</v>
      </c>
      <c r="D18" s="23">
        <f t="shared" ref="D18:D44" si="0">B18/C18</f>
        <v>0</v>
      </c>
      <c r="E18" s="22">
        <v>500</v>
      </c>
      <c r="F18" s="76">
        <f t="shared" ref="F18:F31" si="1">B18/E18</f>
        <v>0</v>
      </c>
      <c r="G18" s="132">
        <v>300</v>
      </c>
      <c r="H18" s="25">
        <f t="shared" ref="H18:H31" si="2">B18/G18</f>
        <v>0</v>
      </c>
    </row>
    <row r="19" spans="1:8" x14ac:dyDescent="0.35">
      <c r="A19" s="26" t="s">
        <v>9</v>
      </c>
      <c r="B19" s="27">
        <f>8.7/100*B4</f>
        <v>0</v>
      </c>
      <c r="C19" s="28">
        <v>10</v>
      </c>
      <c r="D19" s="29">
        <f t="shared" si="0"/>
        <v>0</v>
      </c>
      <c r="E19" s="28">
        <v>10</v>
      </c>
      <c r="F19" s="37">
        <f t="shared" si="1"/>
        <v>0</v>
      </c>
      <c r="G19" s="134">
        <v>15</v>
      </c>
      <c r="H19" s="48">
        <f t="shared" si="2"/>
        <v>0</v>
      </c>
    </row>
    <row r="20" spans="1:8" x14ac:dyDescent="0.35">
      <c r="A20" s="38" t="s">
        <v>10</v>
      </c>
      <c r="B20" s="39">
        <f>7.3/100*B4</f>
        <v>0</v>
      </c>
      <c r="C20" s="40">
        <v>4</v>
      </c>
      <c r="D20" s="41">
        <f t="shared" si="0"/>
        <v>0</v>
      </c>
      <c r="E20" s="40">
        <v>5</v>
      </c>
      <c r="F20" s="42">
        <f t="shared" si="1"/>
        <v>0</v>
      </c>
      <c r="G20" s="131">
        <v>6</v>
      </c>
      <c r="H20" s="43">
        <f t="shared" si="2"/>
        <v>0</v>
      </c>
    </row>
    <row r="21" spans="1:8" x14ac:dyDescent="0.35">
      <c r="A21" s="26" t="s">
        <v>11</v>
      </c>
      <c r="B21" s="27">
        <f>38/100*B4</f>
        <v>0</v>
      </c>
      <c r="C21" s="120">
        <v>2</v>
      </c>
      <c r="D21" s="29">
        <f t="shared" si="0"/>
        <v>0</v>
      </c>
      <c r="E21" s="28">
        <v>2.5</v>
      </c>
      <c r="F21" s="37">
        <f t="shared" si="1"/>
        <v>0</v>
      </c>
      <c r="G21" s="135">
        <v>30</v>
      </c>
      <c r="H21" s="48">
        <f t="shared" si="2"/>
        <v>0</v>
      </c>
    </row>
    <row r="22" spans="1:8" x14ac:dyDescent="0.35">
      <c r="A22" s="38" t="s">
        <v>12</v>
      </c>
      <c r="B22" s="77">
        <f>0.5/100*B4</f>
        <v>0</v>
      </c>
      <c r="C22" s="40">
        <v>0.2</v>
      </c>
      <c r="D22" s="41">
        <f t="shared" si="0"/>
        <v>0</v>
      </c>
      <c r="E22" s="40">
        <v>0.3</v>
      </c>
      <c r="F22" s="42">
        <f t="shared" si="1"/>
        <v>0</v>
      </c>
      <c r="G22" s="124">
        <v>0.5</v>
      </c>
      <c r="H22" s="43">
        <f t="shared" si="2"/>
        <v>0</v>
      </c>
    </row>
    <row r="23" spans="1:8" x14ac:dyDescent="0.35">
      <c r="A23" s="26" t="s">
        <v>13</v>
      </c>
      <c r="B23" s="78">
        <f>0.5/100*B4</f>
        <v>0</v>
      </c>
      <c r="C23" s="28">
        <v>0.3</v>
      </c>
      <c r="D23" s="29">
        <f t="shared" si="0"/>
        <v>0</v>
      </c>
      <c r="E23" s="28">
        <v>0.4</v>
      </c>
      <c r="F23" s="37">
        <f t="shared" si="1"/>
        <v>0</v>
      </c>
      <c r="G23" s="133">
        <v>0.5</v>
      </c>
      <c r="H23" s="48">
        <f t="shared" si="2"/>
        <v>0</v>
      </c>
    </row>
    <row r="24" spans="1:8" x14ac:dyDescent="0.35">
      <c r="A24" s="38" t="s">
        <v>14</v>
      </c>
      <c r="B24" s="77">
        <f>0.5/100*B4</f>
        <v>0</v>
      </c>
      <c r="C24" s="40">
        <v>0.1</v>
      </c>
      <c r="D24" s="41">
        <f t="shared" si="0"/>
        <v>0</v>
      </c>
      <c r="E24" s="40">
        <v>0.3</v>
      </c>
      <c r="F24" s="42">
        <f t="shared" si="1"/>
        <v>0</v>
      </c>
      <c r="G24" s="124">
        <v>0.5</v>
      </c>
      <c r="H24" s="43">
        <f t="shared" si="2"/>
        <v>0</v>
      </c>
    </row>
    <row r="25" spans="1:8" x14ac:dyDescent="0.35">
      <c r="A25" s="26" t="s">
        <v>15</v>
      </c>
      <c r="B25" s="78">
        <f>1.2/100*B4</f>
        <v>0</v>
      </c>
      <c r="C25" s="28">
        <v>0.4</v>
      </c>
      <c r="D25" s="29">
        <f t="shared" si="0"/>
        <v>0</v>
      </c>
      <c r="E25" s="28">
        <v>0.5</v>
      </c>
      <c r="F25" s="37">
        <f t="shared" si="1"/>
        <v>0</v>
      </c>
      <c r="G25" s="133">
        <v>0.9</v>
      </c>
      <c r="H25" s="48">
        <f t="shared" si="2"/>
        <v>0</v>
      </c>
    </row>
    <row r="26" spans="1:8" x14ac:dyDescent="0.35">
      <c r="A26" s="38" t="s">
        <v>56</v>
      </c>
      <c r="B26" s="39">
        <f>2.2/100*B4</f>
        <v>0</v>
      </c>
      <c r="C26" s="40">
        <v>2</v>
      </c>
      <c r="D26" s="41">
        <f t="shared" si="0"/>
        <v>0</v>
      </c>
      <c r="E26" s="40">
        <v>4</v>
      </c>
      <c r="F26" s="42">
        <f t="shared" si="1"/>
        <v>0</v>
      </c>
      <c r="G26" s="131">
        <v>6</v>
      </c>
      <c r="H26" s="43">
        <f t="shared" si="2"/>
        <v>0</v>
      </c>
    </row>
    <row r="27" spans="1:8" x14ac:dyDescent="0.35">
      <c r="A27" s="26" t="s">
        <v>16</v>
      </c>
      <c r="B27" s="27">
        <f>55/100*B4</f>
        <v>0</v>
      </c>
      <c r="C27" s="28">
        <v>65</v>
      </c>
      <c r="D27" s="29">
        <f t="shared" si="0"/>
        <v>0</v>
      </c>
      <c r="E27" s="28">
        <v>80</v>
      </c>
      <c r="F27" s="37">
        <f t="shared" si="1"/>
        <v>0</v>
      </c>
      <c r="G27" s="134">
        <v>150</v>
      </c>
      <c r="H27" s="48">
        <f t="shared" si="2"/>
        <v>0</v>
      </c>
    </row>
    <row r="28" spans="1:8" x14ac:dyDescent="0.35">
      <c r="A28" s="38" t="s">
        <v>17</v>
      </c>
      <c r="B28" s="39">
        <f>2.8/100*B4</f>
        <v>0</v>
      </c>
      <c r="C28" s="40">
        <v>1.7</v>
      </c>
      <c r="D28" s="41">
        <f t="shared" si="0"/>
        <v>0</v>
      </c>
      <c r="E28" s="40">
        <v>1.8</v>
      </c>
      <c r="F28" s="42">
        <f t="shared" si="1"/>
        <v>0</v>
      </c>
      <c r="G28" s="136">
        <v>2</v>
      </c>
      <c r="H28" s="43">
        <f t="shared" si="2"/>
        <v>0</v>
      </c>
    </row>
    <row r="29" spans="1:8" x14ac:dyDescent="0.35">
      <c r="A29" s="26" t="s">
        <v>18</v>
      </c>
      <c r="B29" s="27">
        <f>18.2/100*B4</f>
        <v>0</v>
      </c>
      <c r="C29" s="28">
        <v>5</v>
      </c>
      <c r="D29" s="29">
        <f t="shared" si="0"/>
        <v>0</v>
      </c>
      <c r="E29" s="28">
        <v>6</v>
      </c>
      <c r="F29" s="37">
        <f t="shared" si="1"/>
        <v>0</v>
      </c>
      <c r="G29" s="135">
        <v>8</v>
      </c>
      <c r="H29" s="48">
        <f t="shared" si="2"/>
        <v>0</v>
      </c>
    </row>
    <row r="30" spans="1:8" x14ac:dyDescent="0.35">
      <c r="A30" s="38" t="s">
        <v>19</v>
      </c>
      <c r="B30" s="39">
        <f>49/100*B4</f>
        <v>0</v>
      </c>
      <c r="C30" s="40">
        <v>40</v>
      </c>
      <c r="D30" s="41">
        <f t="shared" si="0"/>
        <v>0</v>
      </c>
      <c r="E30" s="40">
        <v>50</v>
      </c>
      <c r="F30" s="42">
        <f t="shared" si="1"/>
        <v>0</v>
      </c>
      <c r="G30" s="131">
        <v>15</v>
      </c>
      <c r="H30" s="43">
        <f t="shared" si="2"/>
        <v>0</v>
      </c>
    </row>
    <row r="31" spans="1:8" x14ac:dyDescent="0.35">
      <c r="A31" s="26" t="s">
        <v>20</v>
      </c>
      <c r="B31" s="27">
        <f>91/100*B4</f>
        <v>0</v>
      </c>
      <c r="C31" s="28">
        <v>125</v>
      </c>
      <c r="D31" s="29">
        <f t="shared" si="0"/>
        <v>0</v>
      </c>
      <c r="E31" s="28">
        <v>150</v>
      </c>
      <c r="F31" s="37">
        <f t="shared" si="1"/>
        <v>0</v>
      </c>
      <c r="G31" s="135">
        <v>200</v>
      </c>
      <c r="H31" s="48">
        <f t="shared" si="2"/>
        <v>0</v>
      </c>
    </row>
    <row r="32" spans="1:8" ht="15" thickBot="1" x14ac:dyDescent="0.4">
      <c r="A32" s="79" t="s">
        <v>21</v>
      </c>
      <c r="B32" s="80">
        <f>98/100*B4</f>
        <v>0</v>
      </c>
      <c r="C32" s="81" t="s">
        <v>22</v>
      </c>
      <c r="D32" s="82"/>
      <c r="E32" s="81" t="s">
        <v>22</v>
      </c>
      <c r="F32" s="83"/>
      <c r="G32" s="122" t="s">
        <v>22</v>
      </c>
      <c r="H32" s="84"/>
    </row>
    <row r="33" spans="1:8" ht="37.5" customHeight="1" thickBot="1" x14ac:dyDescent="0.4">
      <c r="A33" s="353" t="s">
        <v>52</v>
      </c>
      <c r="B33" s="354"/>
      <c r="C33" s="74" t="s">
        <v>84</v>
      </c>
      <c r="D33" s="74" t="s">
        <v>58</v>
      </c>
      <c r="E33" s="19" t="s">
        <v>85</v>
      </c>
      <c r="F33" s="75" t="s">
        <v>59</v>
      </c>
      <c r="G33" s="143" t="s">
        <v>57</v>
      </c>
      <c r="H33" s="145" t="s">
        <v>60</v>
      </c>
    </row>
    <row r="34" spans="1:8" x14ac:dyDescent="0.35">
      <c r="A34" s="20" t="s">
        <v>24</v>
      </c>
      <c r="B34" s="85">
        <f>371/100*B4</f>
        <v>0</v>
      </c>
      <c r="C34" s="86">
        <v>200</v>
      </c>
      <c r="D34" s="87">
        <f t="shared" si="0"/>
        <v>0</v>
      </c>
      <c r="E34" s="86">
        <v>260</v>
      </c>
      <c r="F34" s="88">
        <f t="shared" ref="F34:F44" si="3">B34/E34</f>
        <v>0</v>
      </c>
      <c r="G34" s="142">
        <v>700</v>
      </c>
      <c r="H34" s="89">
        <f t="shared" ref="H34:H47" si="4">B34/G34</f>
        <v>0</v>
      </c>
    </row>
    <row r="35" spans="1:8" x14ac:dyDescent="0.35">
      <c r="A35" s="26" t="s">
        <v>25</v>
      </c>
      <c r="B35" s="44">
        <f>270/100*B4</f>
        <v>0</v>
      </c>
      <c r="C35" s="45">
        <v>100</v>
      </c>
      <c r="D35" s="46">
        <f t="shared" si="0"/>
        <v>0</v>
      </c>
      <c r="E35" s="45">
        <v>275</v>
      </c>
      <c r="F35" s="47">
        <f t="shared" si="3"/>
        <v>0</v>
      </c>
      <c r="G35" s="139">
        <v>460</v>
      </c>
      <c r="H35" s="48">
        <f t="shared" si="4"/>
        <v>0</v>
      </c>
    </row>
    <row r="36" spans="1:8" x14ac:dyDescent="0.35">
      <c r="A36" s="38" t="s">
        <v>26</v>
      </c>
      <c r="B36" s="90">
        <f>52.5/100*B4</f>
        <v>0</v>
      </c>
      <c r="C36" s="91">
        <v>30</v>
      </c>
      <c r="D36" s="92">
        <f t="shared" si="0"/>
        <v>0</v>
      </c>
      <c r="E36" s="91">
        <v>75</v>
      </c>
      <c r="F36" s="93">
        <f t="shared" si="3"/>
        <v>0</v>
      </c>
      <c r="G36" s="140">
        <v>80</v>
      </c>
      <c r="H36" s="94">
        <f t="shared" si="4"/>
        <v>0</v>
      </c>
    </row>
    <row r="37" spans="1:8" x14ac:dyDescent="0.35">
      <c r="A37" s="26" t="s">
        <v>27</v>
      </c>
      <c r="B37" s="44">
        <f>7.3/100*B4</f>
        <v>0</v>
      </c>
      <c r="C37" s="45">
        <v>0.27</v>
      </c>
      <c r="D37" s="46">
        <f t="shared" si="0"/>
        <v>0</v>
      </c>
      <c r="E37" s="95">
        <v>11</v>
      </c>
      <c r="F37" s="47">
        <f t="shared" si="3"/>
        <v>0</v>
      </c>
      <c r="G37" s="139">
        <v>7</v>
      </c>
      <c r="H37" s="48">
        <f t="shared" si="4"/>
        <v>0</v>
      </c>
    </row>
    <row r="38" spans="1:8" x14ac:dyDescent="0.35">
      <c r="A38" s="38" t="s">
        <v>28</v>
      </c>
      <c r="B38" s="90">
        <f>5.2/100*B4</f>
        <v>0</v>
      </c>
      <c r="C38" s="91">
        <v>2</v>
      </c>
      <c r="D38" s="92">
        <f t="shared" si="0"/>
        <v>0</v>
      </c>
      <c r="E38" s="96">
        <v>3</v>
      </c>
      <c r="F38" s="93">
        <f t="shared" si="3"/>
        <v>0</v>
      </c>
      <c r="G38" s="140">
        <v>3</v>
      </c>
      <c r="H38" s="94">
        <f t="shared" si="4"/>
        <v>0</v>
      </c>
    </row>
    <row r="39" spans="1:8" x14ac:dyDescent="0.35">
      <c r="A39" s="26" t="s">
        <v>29</v>
      </c>
      <c r="B39" s="97">
        <f>0.39/100*B4</f>
        <v>0</v>
      </c>
      <c r="C39" s="45">
        <v>3.0000000000000001E-3</v>
      </c>
      <c r="D39" s="46">
        <f t="shared" si="0"/>
        <v>0</v>
      </c>
      <c r="E39" s="45">
        <v>0.6</v>
      </c>
      <c r="F39" s="47">
        <f t="shared" si="3"/>
        <v>0</v>
      </c>
      <c r="G39" s="125">
        <v>1.2</v>
      </c>
      <c r="H39" s="48">
        <f t="shared" si="4"/>
        <v>0</v>
      </c>
    </row>
    <row r="40" spans="1:8" x14ac:dyDescent="0.35">
      <c r="A40" s="38" t="s">
        <v>30</v>
      </c>
      <c r="B40" s="90">
        <f>390/100*B4</f>
        <v>0</v>
      </c>
      <c r="C40" s="91">
        <v>200</v>
      </c>
      <c r="D40" s="92">
        <f t="shared" si="0"/>
        <v>0</v>
      </c>
      <c r="E40" s="91">
        <v>220</v>
      </c>
      <c r="F40" s="93">
        <f t="shared" si="3"/>
        <v>0</v>
      </c>
      <c r="G40" s="140">
        <v>340</v>
      </c>
      <c r="H40" s="94">
        <f t="shared" si="4"/>
        <v>0</v>
      </c>
    </row>
    <row r="41" spans="1:8" x14ac:dyDescent="0.35">
      <c r="A41" s="26" t="s">
        <v>31</v>
      </c>
      <c r="B41" s="44">
        <f>82.5/100*B4</f>
        <v>0</v>
      </c>
      <c r="C41" s="45">
        <v>110</v>
      </c>
      <c r="D41" s="46">
        <f t="shared" si="0"/>
        <v>0</v>
      </c>
      <c r="E41" s="45">
        <v>130</v>
      </c>
      <c r="F41" s="47">
        <f t="shared" si="3"/>
        <v>0</v>
      </c>
      <c r="G41" s="139">
        <v>90</v>
      </c>
      <c r="H41" s="48">
        <f t="shared" si="4"/>
        <v>0</v>
      </c>
    </row>
    <row r="42" spans="1:8" x14ac:dyDescent="0.35">
      <c r="A42" s="38" t="s">
        <v>32</v>
      </c>
      <c r="B42" s="90">
        <f>10.9/100*B4</f>
        <v>0</v>
      </c>
      <c r="C42" s="91">
        <v>2</v>
      </c>
      <c r="D42" s="92">
        <f t="shared" si="0"/>
        <v>0</v>
      </c>
      <c r="E42" s="91">
        <v>3</v>
      </c>
      <c r="F42" s="93">
        <f t="shared" si="3"/>
        <v>0</v>
      </c>
      <c r="G42" s="140">
        <v>17</v>
      </c>
      <c r="H42" s="94">
        <f t="shared" si="4"/>
        <v>0</v>
      </c>
    </row>
    <row r="43" spans="1:8" x14ac:dyDescent="0.35">
      <c r="A43" s="26" t="s">
        <v>33</v>
      </c>
      <c r="B43" s="44">
        <f>12.5/100*B4</f>
        <v>0</v>
      </c>
      <c r="C43" s="45">
        <v>0.2</v>
      </c>
      <c r="D43" s="46">
        <f t="shared" si="0"/>
        <v>0</v>
      </c>
      <c r="E43" s="45">
        <v>5.5</v>
      </c>
      <c r="F43" s="47">
        <f t="shared" si="3"/>
        <v>0</v>
      </c>
      <c r="G43" s="137">
        <v>11</v>
      </c>
      <c r="H43" s="48">
        <f t="shared" si="4"/>
        <v>0</v>
      </c>
    </row>
    <row r="44" spans="1:8" x14ac:dyDescent="0.35">
      <c r="A44" s="38" t="s">
        <v>34</v>
      </c>
      <c r="B44" s="90">
        <f>14.1/100*B4</f>
        <v>0</v>
      </c>
      <c r="C44" s="91">
        <v>15</v>
      </c>
      <c r="D44" s="92">
        <f t="shared" si="0"/>
        <v>0</v>
      </c>
      <c r="E44" s="91">
        <v>20</v>
      </c>
      <c r="F44" s="93">
        <f t="shared" si="3"/>
        <v>0</v>
      </c>
      <c r="G44" s="140">
        <v>20</v>
      </c>
      <c r="H44" s="94">
        <f t="shared" si="4"/>
        <v>0</v>
      </c>
    </row>
    <row r="45" spans="1:8" x14ac:dyDescent="0.35">
      <c r="A45" s="26" t="s">
        <v>35</v>
      </c>
      <c r="B45" s="44">
        <f>171/100*B4</f>
        <v>0</v>
      </c>
      <c r="C45" s="98">
        <v>110</v>
      </c>
      <c r="D45" s="46">
        <f>B45/C45</f>
        <v>0</v>
      </c>
      <c r="E45" s="98">
        <v>370</v>
      </c>
      <c r="F45" s="47">
        <f>B45/E45</f>
        <v>0</v>
      </c>
      <c r="G45" s="137">
        <v>800</v>
      </c>
      <c r="H45" s="48">
        <f t="shared" si="4"/>
        <v>0</v>
      </c>
    </row>
    <row r="46" spans="1:8" x14ac:dyDescent="0.35">
      <c r="A46" s="38" t="s">
        <v>36</v>
      </c>
      <c r="B46" s="90">
        <f>454/100*B4</f>
        <v>0</v>
      </c>
      <c r="C46" s="99">
        <v>400</v>
      </c>
      <c r="D46" s="92">
        <f>B46/C46</f>
        <v>0</v>
      </c>
      <c r="E46" s="99">
        <v>860</v>
      </c>
      <c r="F46" s="93">
        <f>B46/E46</f>
        <v>0</v>
      </c>
      <c r="G46" s="138">
        <v>2000</v>
      </c>
      <c r="H46" s="94">
        <f t="shared" si="4"/>
        <v>0</v>
      </c>
    </row>
    <row r="47" spans="1:8" ht="15" thickBot="1" x14ac:dyDescent="0.4">
      <c r="A47" s="100" t="s">
        <v>37</v>
      </c>
      <c r="B47" s="101">
        <f>321/100*B4</f>
        <v>0</v>
      </c>
      <c r="C47" s="102">
        <v>180</v>
      </c>
      <c r="D47" s="103">
        <f>B47/C47</f>
        <v>0</v>
      </c>
      <c r="E47" s="102">
        <v>570</v>
      </c>
      <c r="F47" s="104">
        <f>B47/E47</f>
        <v>0</v>
      </c>
      <c r="G47" s="141">
        <v>1500</v>
      </c>
      <c r="H47" s="105">
        <f t="shared" si="4"/>
        <v>0</v>
      </c>
    </row>
    <row r="48" spans="1:8" x14ac:dyDescent="0.35">
      <c r="A48" s="260" t="s">
        <v>62</v>
      </c>
    </row>
    <row r="49" spans="1:8" x14ac:dyDescent="0.35">
      <c r="A49" t="s">
        <v>63</v>
      </c>
    </row>
    <row r="50" spans="1:8" x14ac:dyDescent="0.35">
      <c r="A50" t="s">
        <v>61</v>
      </c>
      <c r="G50" s="261"/>
      <c r="H50" s="261"/>
    </row>
    <row r="51" spans="1:8" x14ac:dyDescent="0.35">
      <c r="A51" s="262" t="s">
        <v>110</v>
      </c>
    </row>
  </sheetData>
  <sheetProtection algorithmName="SHA-512" hashValue="yAFBGDXIdHaiJbDXkYmAZnBdSrKT7h9Xcm4GLWVEWk6AXL4bwuh47rI7G6KiHJAfAkzowqY/9b9G+eZHY2VKcw==" saltValue="bwU5aKa9O/ZVU+hAAQkEMw==" spinCount="100000" sheet="1" objects="1" scenarios="1"/>
  <mergeCells count="5">
    <mergeCell ref="A1:F1"/>
    <mergeCell ref="A3:B3"/>
    <mergeCell ref="A17:B17"/>
    <mergeCell ref="A33:B33"/>
    <mergeCell ref="C2:H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J51"/>
  <sheetViews>
    <sheetView showGridLines="0" zoomScale="90" zoomScaleNormal="90" workbookViewId="0">
      <selection activeCell="N14" sqref="N14"/>
    </sheetView>
  </sheetViews>
  <sheetFormatPr defaultColWidth="9.1796875" defaultRowHeight="14.5" x14ac:dyDescent="0.35"/>
  <cols>
    <col min="1" max="1" width="26" customWidth="1"/>
    <col min="2" max="2" width="12.54296875" customWidth="1"/>
    <col min="7" max="7" width="10.1796875" customWidth="1"/>
    <col min="8" max="9" width="10.54296875" customWidth="1"/>
    <col min="10" max="10" width="9.81640625" customWidth="1"/>
    <col min="11" max="11" width="4.26953125" customWidth="1"/>
  </cols>
  <sheetData>
    <row r="1" spans="1:10" ht="15" thickBot="1" x14ac:dyDescent="0.4">
      <c r="A1" s="263" t="s">
        <v>0</v>
      </c>
      <c r="B1" s="264" t="s">
        <v>1</v>
      </c>
      <c r="C1" s="264" t="s">
        <v>1</v>
      </c>
      <c r="D1" s="264" t="s">
        <v>1</v>
      </c>
      <c r="E1" s="264"/>
      <c r="F1" s="264"/>
      <c r="G1" s="265"/>
      <c r="H1" s="265"/>
      <c r="I1" s="265"/>
      <c r="J1" s="266"/>
    </row>
    <row r="2" spans="1:10" ht="75" customHeight="1" thickBot="1" x14ac:dyDescent="0.4">
      <c r="A2" s="267" t="s">
        <v>64</v>
      </c>
      <c r="B2" s="13">
        <v>0</v>
      </c>
      <c r="C2" s="358" t="s">
        <v>98</v>
      </c>
      <c r="D2" s="359"/>
      <c r="E2" s="359"/>
      <c r="F2" s="359"/>
      <c r="G2" s="360"/>
      <c r="H2" s="360"/>
      <c r="I2" s="360"/>
      <c r="J2" s="361"/>
    </row>
    <row r="3" spans="1:10" ht="44" thickBot="1" x14ac:dyDescent="0.4">
      <c r="A3" s="362" t="s">
        <v>106</v>
      </c>
      <c r="B3" s="363"/>
      <c r="C3" s="268" t="s">
        <v>76</v>
      </c>
      <c r="D3" s="268" t="s">
        <v>60</v>
      </c>
      <c r="E3" s="18" t="s">
        <v>77</v>
      </c>
      <c r="F3" s="269" t="s">
        <v>78</v>
      </c>
      <c r="G3" s="270" t="s">
        <v>79</v>
      </c>
      <c r="H3" s="270" t="s">
        <v>80</v>
      </c>
      <c r="I3" s="271" t="s">
        <v>81</v>
      </c>
      <c r="J3" s="271" t="s">
        <v>82</v>
      </c>
    </row>
    <row r="4" spans="1:10" x14ac:dyDescent="0.35">
      <c r="A4" s="309" t="s">
        <v>2</v>
      </c>
      <c r="B4" s="310">
        <f>B2*100/28</f>
        <v>0</v>
      </c>
      <c r="C4" s="166"/>
      <c r="D4" s="167"/>
      <c r="E4" s="166"/>
      <c r="F4" s="168"/>
      <c r="G4" s="155"/>
      <c r="H4" s="146"/>
      <c r="I4" s="146"/>
      <c r="J4" s="149"/>
    </row>
    <row r="5" spans="1:10" x14ac:dyDescent="0.35">
      <c r="A5" s="169" t="s">
        <v>83</v>
      </c>
      <c r="B5" s="170">
        <f>(100/9)/100*B4</f>
        <v>0</v>
      </c>
      <c r="C5" s="171"/>
      <c r="D5" s="172"/>
      <c r="E5" s="171"/>
      <c r="F5" s="173"/>
      <c r="G5" s="156"/>
      <c r="H5" s="151"/>
      <c r="I5" s="151"/>
      <c r="J5" s="152"/>
    </row>
    <row r="6" spans="1:10" x14ac:dyDescent="0.35">
      <c r="A6" s="174" t="s">
        <v>3</v>
      </c>
      <c r="B6" s="175">
        <f>385/100*B4</f>
        <v>0</v>
      </c>
      <c r="C6" s="176"/>
      <c r="D6" s="177"/>
      <c r="E6" s="176"/>
      <c r="F6" s="178"/>
      <c r="G6" s="157"/>
      <c r="H6" s="147"/>
      <c r="I6" s="147"/>
      <c r="J6" s="150"/>
    </row>
    <row r="7" spans="1:10" x14ac:dyDescent="0.35">
      <c r="A7" s="179" t="s">
        <v>4</v>
      </c>
      <c r="B7" s="180">
        <f>B2</f>
        <v>0</v>
      </c>
      <c r="C7" s="181">
        <v>13</v>
      </c>
      <c r="D7" s="182">
        <f>B7/C7</f>
        <v>0</v>
      </c>
      <c r="E7" s="181">
        <v>19</v>
      </c>
      <c r="F7" s="183">
        <f>B7/E7</f>
        <v>0</v>
      </c>
      <c r="G7" s="184">
        <v>34</v>
      </c>
      <c r="H7" s="185">
        <f>B7/G7</f>
        <v>0</v>
      </c>
      <c r="I7" s="184">
        <v>34</v>
      </c>
      <c r="J7" s="186">
        <f>B7/I7</f>
        <v>0</v>
      </c>
    </row>
    <row r="8" spans="1:10" x14ac:dyDescent="0.35">
      <c r="A8" s="187" t="s">
        <v>5</v>
      </c>
      <c r="B8" s="188">
        <f>12.5/100*B4</f>
        <v>0</v>
      </c>
      <c r="C8" s="189"/>
      <c r="D8" s="190"/>
      <c r="E8" s="189"/>
      <c r="F8" s="191"/>
      <c r="G8" s="158"/>
      <c r="H8" s="148"/>
      <c r="I8" s="154"/>
      <c r="J8" s="192"/>
    </row>
    <row r="9" spans="1:10" x14ac:dyDescent="0.35">
      <c r="A9" s="272" t="s">
        <v>69</v>
      </c>
      <c r="B9" s="78">
        <f>2/28*B2</f>
        <v>0</v>
      </c>
      <c r="C9" s="28"/>
      <c r="D9" s="29"/>
      <c r="E9" s="28"/>
      <c r="F9" s="29"/>
      <c r="G9" s="158"/>
      <c r="H9" s="148"/>
      <c r="I9" s="154"/>
      <c r="J9" s="192"/>
    </row>
    <row r="10" spans="1:10" x14ac:dyDescent="0.35">
      <c r="A10" s="272" t="s">
        <v>70</v>
      </c>
      <c r="B10" s="78">
        <f>8.2/28*B2</f>
        <v>0</v>
      </c>
      <c r="C10" s="28"/>
      <c r="D10" s="29"/>
      <c r="E10" s="28"/>
      <c r="F10" s="29"/>
      <c r="G10" s="158"/>
      <c r="H10" s="148"/>
      <c r="I10" s="154"/>
      <c r="J10" s="192"/>
    </row>
    <row r="11" spans="1:10" x14ac:dyDescent="0.35">
      <c r="A11" s="272" t="s">
        <v>71</v>
      </c>
      <c r="B11" s="78">
        <f>1.8/28*B2</f>
        <v>0</v>
      </c>
      <c r="C11" s="28"/>
      <c r="D11" s="29"/>
      <c r="E11" s="28"/>
      <c r="F11" s="29"/>
      <c r="G11" s="158"/>
      <c r="H11" s="148"/>
      <c r="I11" s="154"/>
      <c r="J11" s="192"/>
    </row>
    <row r="12" spans="1:10" x14ac:dyDescent="0.35">
      <c r="A12" s="49" t="s">
        <v>72</v>
      </c>
      <c r="B12" s="50">
        <f>180/100*B4</f>
        <v>0</v>
      </c>
      <c r="C12" s="28"/>
      <c r="D12" s="29"/>
      <c r="E12" s="28"/>
      <c r="F12" s="29"/>
      <c r="G12" s="159"/>
      <c r="H12" s="148"/>
      <c r="I12" s="154"/>
      <c r="J12" s="192"/>
    </row>
    <row r="13" spans="1:10" x14ac:dyDescent="0.35">
      <c r="A13" s="38" t="s">
        <v>6</v>
      </c>
      <c r="B13" s="39">
        <f>43.2/100*B4</f>
        <v>0</v>
      </c>
      <c r="C13" s="193">
        <v>130</v>
      </c>
      <c r="D13" s="41">
        <f>B13/C13</f>
        <v>0</v>
      </c>
      <c r="E13" s="193">
        <v>130</v>
      </c>
      <c r="F13" s="41">
        <f>B13/E13</f>
        <v>0</v>
      </c>
      <c r="G13" s="184">
        <v>130</v>
      </c>
      <c r="H13" s="185">
        <f>B13/G13</f>
        <v>0</v>
      </c>
      <c r="I13" s="184">
        <v>130</v>
      </c>
      <c r="J13" s="186">
        <f>B13/I13</f>
        <v>0</v>
      </c>
    </row>
    <row r="14" spans="1:10" x14ac:dyDescent="0.35">
      <c r="A14" s="49" t="s">
        <v>73</v>
      </c>
      <c r="B14" s="50">
        <f>11.2/100*B4</f>
        <v>0</v>
      </c>
      <c r="C14" s="51">
        <v>19</v>
      </c>
      <c r="D14" s="52">
        <f>B14/C14</f>
        <v>0</v>
      </c>
      <c r="E14" s="51">
        <v>25</v>
      </c>
      <c r="F14" s="52">
        <f>B14/E14</f>
        <v>0</v>
      </c>
      <c r="G14" s="194">
        <v>31</v>
      </c>
      <c r="H14" s="195">
        <f>B14/G14</f>
        <v>0</v>
      </c>
      <c r="I14" s="194">
        <v>26</v>
      </c>
      <c r="J14" s="196">
        <f>B14/I14</f>
        <v>0</v>
      </c>
    </row>
    <row r="15" spans="1:10" x14ac:dyDescent="0.35">
      <c r="A15" s="49" t="s">
        <v>74</v>
      </c>
      <c r="B15" s="50">
        <f>8/100*B4</f>
        <v>0</v>
      </c>
      <c r="C15" s="51"/>
      <c r="D15" s="52"/>
      <c r="E15" s="51"/>
      <c r="F15" s="52"/>
      <c r="G15" s="194"/>
      <c r="H15" s="195"/>
      <c r="I15" s="197"/>
      <c r="J15" s="196"/>
    </row>
    <row r="16" spans="1:10" ht="15" thickBot="1" x14ac:dyDescent="0.4">
      <c r="A16" s="198" t="s">
        <v>75</v>
      </c>
      <c r="B16" s="252">
        <f>3.2/100*B4</f>
        <v>0</v>
      </c>
      <c r="C16" s="199"/>
      <c r="D16" s="200"/>
      <c r="E16" s="199"/>
      <c r="F16" s="200"/>
      <c r="G16" s="201"/>
      <c r="H16" s="202"/>
      <c r="I16" s="203"/>
      <c r="J16" s="204"/>
    </row>
    <row r="17" spans="1:10" ht="44" thickBot="1" x14ac:dyDescent="0.4">
      <c r="A17" s="364" t="s">
        <v>7</v>
      </c>
      <c r="B17" s="365"/>
      <c r="C17" s="268" t="s">
        <v>76</v>
      </c>
      <c r="D17" s="268" t="s">
        <v>60</v>
      </c>
      <c r="E17" s="18" t="s">
        <v>77</v>
      </c>
      <c r="F17" s="269" t="s">
        <v>78</v>
      </c>
      <c r="G17" s="270" t="s">
        <v>79</v>
      </c>
      <c r="H17" s="270" t="s">
        <v>80</v>
      </c>
      <c r="I17" s="271" t="s">
        <v>81</v>
      </c>
      <c r="J17" s="271" t="s">
        <v>82</v>
      </c>
    </row>
    <row r="18" spans="1:10" x14ac:dyDescent="0.35">
      <c r="A18" s="205" t="s">
        <v>8</v>
      </c>
      <c r="B18" s="253">
        <f>420/100*B4</f>
        <v>0</v>
      </c>
      <c r="C18" s="228">
        <v>300</v>
      </c>
      <c r="D18" s="206">
        <f t="shared" ref="D18:D44" si="0">B18/C18</f>
        <v>0</v>
      </c>
      <c r="E18" s="228">
        <v>400</v>
      </c>
      <c r="F18" s="207">
        <f t="shared" ref="F18:F31" si="1">B18/E18</f>
        <v>0</v>
      </c>
      <c r="G18" s="231">
        <v>600</v>
      </c>
      <c r="H18" s="208">
        <f>B18/G18</f>
        <v>0</v>
      </c>
      <c r="I18" s="231">
        <v>600</v>
      </c>
      <c r="J18" s="209">
        <f>B18/I18</f>
        <v>0</v>
      </c>
    </row>
    <row r="19" spans="1:10" x14ac:dyDescent="0.35">
      <c r="A19" s="174" t="s">
        <v>9</v>
      </c>
      <c r="B19" s="175">
        <f>21/100*B4</f>
        <v>0</v>
      </c>
      <c r="C19" s="229">
        <v>15</v>
      </c>
      <c r="D19" s="210">
        <f t="shared" si="0"/>
        <v>0</v>
      </c>
      <c r="E19" s="229">
        <v>15</v>
      </c>
      <c r="F19" s="178">
        <f t="shared" si="1"/>
        <v>0</v>
      </c>
      <c r="G19" s="232">
        <v>15</v>
      </c>
      <c r="H19" s="160">
        <f t="shared" ref="H19:H31" si="2">B19/G19</f>
        <v>0</v>
      </c>
      <c r="I19" s="232">
        <v>15</v>
      </c>
      <c r="J19" s="163">
        <f t="shared" ref="J19:J31" si="3">B19/I19</f>
        <v>0</v>
      </c>
    </row>
    <row r="20" spans="1:10" x14ac:dyDescent="0.35">
      <c r="A20" s="179" t="s">
        <v>10</v>
      </c>
      <c r="B20" s="180">
        <f>8.4/100*B4</f>
        <v>0</v>
      </c>
      <c r="C20" s="181">
        <v>6</v>
      </c>
      <c r="D20" s="182">
        <f t="shared" si="0"/>
        <v>0</v>
      </c>
      <c r="E20" s="181">
        <v>7</v>
      </c>
      <c r="F20" s="183">
        <f t="shared" si="1"/>
        <v>0</v>
      </c>
      <c r="G20" s="233">
        <v>11</v>
      </c>
      <c r="H20" s="185">
        <f t="shared" si="2"/>
        <v>0</v>
      </c>
      <c r="I20" s="233">
        <v>11</v>
      </c>
      <c r="J20" s="186">
        <f t="shared" si="3"/>
        <v>0</v>
      </c>
    </row>
    <row r="21" spans="1:10" x14ac:dyDescent="0.35">
      <c r="A21" s="174" t="s">
        <v>11</v>
      </c>
      <c r="B21" s="175">
        <f>14/100*B4</f>
        <v>0</v>
      </c>
      <c r="C21" s="176">
        <v>30</v>
      </c>
      <c r="D21" s="210">
        <f t="shared" si="0"/>
        <v>0</v>
      </c>
      <c r="E21" s="176">
        <v>55</v>
      </c>
      <c r="F21" s="178">
        <f t="shared" si="1"/>
        <v>0</v>
      </c>
      <c r="G21" s="234">
        <v>60</v>
      </c>
      <c r="H21" s="160">
        <f t="shared" si="2"/>
        <v>0</v>
      </c>
      <c r="I21" s="234">
        <v>60</v>
      </c>
      <c r="J21" s="163">
        <f t="shared" si="3"/>
        <v>0</v>
      </c>
    </row>
    <row r="22" spans="1:10" x14ac:dyDescent="0.35">
      <c r="A22" s="179" t="s">
        <v>12</v>
      </c>
      <c r="B22" s="211">
        <f>0.73/100*B4</f>
        <v>0</v>
      </c>
      <c r="C22" s="181">
        <v>0.5</v>
      </c>
      <c r="D22" s="182">
        <f t="shared" si="0"/>
        <v>0</v>
      </c>
      <c r="E22" s="181">
        <v>0.6</v>
      </c>
      <c r="F22" s="183">
        <f t="shared" si="1"/>
        <v>0</v>
      </c>
      <c r="G22" s="235">
        <v>0.9</v>
      </c>
      <c r="H22" s="185">
        <f t="shared" si="2"/>
        <v>0</v>
      </c>
      <c r="I22" s="235">
        <v>0.9</v>
      </c>
      <c r="J22" s="186">
        <f t="shared" si="3"/>
        <v>0</v>
      </c>
    </row>
    <row r="23" spans="1:10" x14ac:dyDescent="0.35">
      <c r="A23" s="174" t="s">
        <v>13</v>
      </c>
      <c r="B23" s="212">
        <f>0.73/100*B4</f>
        <v>0</v>
      </c>
      <c r="C23" s="229">
        <v>0.5</v>
      </c>
      <c r="D23" s="210">
        <f t="shared" si="0"/>
        <v>0</v>
      </c>
      <c r="E23" s="229">
        <v>0.6</v>
      </c>
      <c r="F23" s="178">
        <f t="shared" si="1"/>
        <v>0</v>
      </c>
      <c r="G23" s="236">
        <v>0.9</v>
      </c>
      <c r="H23" s="213">
        <f t="shared" si="2"/>
        <v>0</v>
      </c>
      <c r="I23" s="236">
        <v>0.9</v>
      </c>
      <c r="J23" s="214">
        <f t="shared" si="3"/>
        <v>0</v>
      </c>
    </row>
    <row r="24" spans="1:10" x14ac:dyDescent="0.35">
      <c r="A24" s="179" t="s">
        <v>14</v>
      </c>
      <c r="B24" s="211">
        <f>0.73/100*B4</f>
        <v>0</v>
      </c>
      <c r="C24" s="181">
        <v>0.5</v>
      </c>
      <c r="D24" s="182">
        <f t="shared" si="0"/>
        <v>0</v>
      </c>
      <c r="E24" s="181">
        <v>0.6</v>
      </c>
      <c r="F24" s="183">
        <f t="shared" si="1"/>
        <v>0</v>
      </c>
      <c r="G24" s="235">
        <v>1</v>
      </c>
      <c r="H24" s="185">
        <f t="shared" si="2"/>
        <v>0</v>
      </c>
      <c r="I24" s="235">
        <v>1</v>
      </c>
      <c r="J24" s="186">
        <f t="shared" si="3"/>
        <v>0</v>
      </c>
    </row>
    <row r="25" spans="1:10" x14ac:dyDescent="0.35">
      <c r="A25" s="174" t="s">
        <v>15</v>
      </c>
      <c r="B25" s="212">
        <f>1.3/100*B4</f>
        <v>0</v>
      </c>
      <c r="C25" s="229">
        <v>0.9</v>
      </c>
      <c r="D25" s="210">
        <f t="shared" si="0"/>
        <v>0</v>
      </c>
      <c r="E25" s="229">
        <v>1.2</v>
      </c>
      <c r="F25" s="178">
        <f t="shared" si="1"/>
        <v>0</v>
      </c>
      <c r="G25" s="236">
        <v>1.8</v>
      </c>
      <c r="H25" s="213">
        <f t="shared" si="2"/>
        <v>0</v>
      </c>
      <c r="I25" s="236">
        <v>1.8</v>
      </c>
      <c r="J25" s="214">
        <f t="shared" si="3"/>
        <v>0</v>
      </c>
    </row>
    <row r="26" spans="1:10" x14ac:dyDescent="0.35">
      <c r="A26" s="179" t="s">
        <v>56</v>
      </c>
      <c r="B26" s="211">
        <f>2/100*B4</f>
        <v>0</v>
      </c>
      <c r="C26" s="181">
        <v>6</v>
      </c>
      <c r="D26" s="182">
        <f t="shared" si="0"/>
        <v>0</v>
      </c>
      <c r="E26" s="181">
        <v>8</v>
      </c>
      <c r="F26" s="183">
        <f t="shared" si="1"/>
        <v>0</v>
      </c>
      <c r="G26" s="233">
        <v>12</v>
      </c>
      <c r="H26" s="185">
        <f t="shared" si="2"/>
        <v>0</v>
      </c>
      <c r="I26" s="233">
        <v>12</v>
      </c>
      <c r="J26" s="186">
        <f t="shared" si="3"/>
        <v>0</v>
      </c>
    </row>
    <row r="27" spans="1:10" x14ac:dyDescent="0.35">
      <c r="A27" s="174" t="s">
        <v>16</v>
      </c>
      <c r="B27" s="175">
        <f>210/100*B4</f>
        <v>0</v>
      </c>
      <c r="C27" s="229">
        <v>150</v>
      </c>
      <c r="D27" s="210">
        <f t="shared" si="0"/>
        <v>0</v>
      </c>
      <c r="E27" s="229">
        <v>200</v>
      </c>
      <c r="F27" s="178">
        <f t="shared" si="1"/>
        <v>0</v>
      </c>
      <c r="G27" s="237">
        <v>300</v>
      </c>
      <c r="H27" s="213">
        <f t="shared" si="2"/>
        <v>0</v>
      </c>
      <c r="I27" s="237">
        <v>300</v>
      </c>
      <c r="J27" s="214">
        <f t="shared" si="3"/>
        <v>0</v>
      </c>
    </row>
    <row r="28" spans="1:10" x14ac:dyDescent="0.35">
      <c r="A28" s="179" t="s">
        <v>17</v>
      </c>
      <c r="B28" s="180">
        <f>4.2/100*B4</f>
        <v>0</v>
      </c>
      <c r="C28" s="230">
        <v>2</v>
      </c>
      <c r="D28" s="182">
        <f t="shared" si="0"/>
        <v>0</v>
      </c>
      <c r="E28" s="230">
        <v>3</v>
      </c>
      <c r="F28" s="183">
        <f t="shared" si="1"/>
        <v>0</v>
      </c>
      <c r="G28" s="238">
        <v>4</v>
      </c>
      <c r="H28" s="161">
        <f t="shared" si="2"/>
        <v>0</v>
      </c>
      <c r="I28" s="238">
        <v>4</v>
      </c>
      <c r="J28" s="164">
        <f t="shared" si="3"/>
        <v>0</v>
      </c>
    </row>
    <row r="29" spans="1:10" x14ac:dyDescent="0.35">
      <c r="A29" s="174" t="s">
        <v>18</v>
      </c>
      <c r="B29" s="175">
        <f>11.2/100*B4</f>
        <v>0</v>
      </c>
      <c r="C29" s="176">
        <v>8</v>
      </c>
      <c r="D29" s="210">
        <f t="shared" si="0"/>
        <v>0</v>
      </c>
      <c r="E29" s="176">
        <v>12</v>
      </c>
      <c r="F29" s="178">
        <f t="shared" si="1"/>
        <v>0</v>
      </c>
      <c r="G29" s="234">
        <v>20</v>
      </c>
      <c r="H29" s="160">
        <f t="shared" si="2"/>
        <v>0</v>
      </c>
      <c r="I29" s="234">
        <v>20</v>
      </c>
      <c r="J29" s="163">
        <f t="shared" si="3"/>
        <v>0</v>
      </c>
    </row>
    <row r="30" spans="1:10" x14ac:dyDescent="0.35">
      <c r="A30" s="179" t="s">
        <v>19</v>
      </c>
      <c r="B30" s="180">
        <f>42/100*B4</f>
        <v>0</v>
      </c>
      <c r="C30" s="181">
        <v>15</v>
      </c>
      <c r="D30" s="182">
        <f t="shared" si="0"/>
        <v>0</v>
      </c>
      <c r="E30" s="181">
        <v>25</v>
      </c>
      <c r="F30" s="183">
        <f t="shared" si="1"/>
        <v>0</v>
      </c>
      <c r="G30" s="233">
        <v>45</v>
      </c>
      <c r="H30" s="185">
        <f t="shared" si="2"/>
        <v>0</v>
      </c>
      <c r="I30" s="233">
        <v>45</v>
      </c>
      <c r="J30" s="186">
        <f t="shared" si="3"/>
        <v>0</v>
      </c>
    </row>
    <row r="31" spans="1:10" x14ac:dyDescent="0.35">
      <c r="A31" s="174" t="s">
        <v>20</v>
      </c>
      <c r="B31" s="175">
        <f>224/100*B4</f>
        <v>0</v>
      </c>
      <c r="C31" s="189">
        <v>200</v>
      </c>
      <c r="D31" s="190">
        <f t="shared" si="0"/>
        <v>0</v>
      </c>
      <c r="E31" s="189">
        <v>250</v>
      </c>
      <c r="F31" s="191">
        <f t="shared" si="1"/>
        <v>0</v>
      </c>
      <c r="G31" s="234">
        <v>375</v>
      </c>
      <c r="H31" s="160">
        <f t="shared" si="2"/>
        <v>0</v>
      </c>
      <c r="I31" s="234">
        <v>375</v>
      </c>
      <c r="J31" s="163">
        <f t="shared" si="3"/>
        <v>0</v>
      </c>
    </row>
    <row r="32" spans="1:10" ht="15" thickBot="1" x14ac:dyDescent="0.4">
      <c r="A32" s="215" t="s">
        <v>21</v>
      </c>
      <c r="B32" s="216">
        <f>56/100*B4</f>
        <v>0</v>
      </c>
      <c r="C32" s="240" t="s">
        <v>22</v>
      </c>
      <c r="D32" s="241"/>
      <c r="E32" s="240" t="s">
        <v>22</v>
      </c>
      <c r="F32" s="242"/>
      <c r="G32" s="239" t="s">
        <v>22</v>
      </c>
      <c r="H32" s="162"/>
      <c r="I32" s="239" t="s">
        <v>22</v>
      </c>
      <c r="J32" s="165"/>
    </row>
    <row r="33" spans="1:10" ht="44" thickBot="1" x14ac:dyDescent="0.4">
      <c r="A33" s="351" t="s">
        <v>23</v>
      </c>
      <c r="B33" s="352"/>
      <c r="C33" s="268" t="s">
        <v>76</v>
      </c>
      <c r="D33" s="268" t="s">
        <v>60</v>
      </c>
      <c r="E33" s="18" t="s">
        <v>77</v>
      </c>
      <c r="F33" s="269" t="s">
        <v>78</v>
      </c>
      <c r="G33" s="273" t="s">
        <v>79</v>
      </c>
      <c r="H33" s="273" t="s">
        <v>80</v>
      </c>
      <c r="I33" s="274" t="s">
        <v>81</v>
      </c>
      <c r="J33" s="274" t="s">
        <v>82</v>
      </c>
    </row>
    <row r="34" spans="1:10" x14ac:dyDescent="0.35">
      <c r="A34" s="205" t="s">
        <v>24</v>
      </c>
      <c r="B34" s="253">
        <f>980/100*B4</f>
        <v>0</v>
      </c>
      <c r="C34" s="228">
        <v>700</v>
      </c>
      <c r="D34" s="206">
        <f t="shared" si="0"/>
        <v>0</v>
      </c>
      <c r="E34" s="228">
        <v>1000</v>
      </c>
      <c r="F34" s="207">
        <f t="shared" ref="F34:F44" si="4">B34/E34</f>
        <v>0</v>
      </c>
      <c r="G34" s="249">
        <v>1300</v>
      </c>
      <c r="H34" s="219">
        <f>B34/G34</f>
        <v>0</v>
      </c>
      <c r="I34" s="249">
        <v>1300</v>
      </c>
      <c r="J34" s="220">
        <f>B34/I34</f>
        <v>0</v>
      </c>
    </row>
    <row r="35" spans="1:10" x14ac:dyDescent="0.35">
      <c r="A35" s="174" t="s">
        <v>25</v>
      </c>
      <c r="B35" s="254">
        <f>641/100*B4</f>
        <v>0</v>
      </c>
      <c r="C35" s="229">
        <v>460</v>
      </c>
      <c r="D35" s="210">
        <f t="shared" si="0"/>
        <v>0</v>
      </c>
      <c r="E35" s="229">
        <v>500</v>
      </c>
      <c r="F35" s="178">
        <f t="shared" si="4"/>
        <v>0</v>
      </c>
      <c r="G35" s="237">
        <v>1250</v>
      </c>
      <c r="H35" s="213">
        <f t="shared" ref="H35:H47" si="5">B35/G35</f>
        <v>0</v>
      </c>
      <c r="I35" s="237">
        <v>1250</v>
      </c>
      <c r="J35" s="214">
        <f t="shared" ref="J35:J47" si="6">B35/I35</f>
        <v>0</v>
      </c>
    </row>
    <row r="36" spans="1:10" x14ac:dyDescent="0.35">
      <c r="A36" s="179" t="s">
        <v>26</v>
      </c>
      <c r="B36" s="180">
        <f>113/100*B4</f>
        <v>0</v>
      </c>
      <c r="C36" s="181">
        <v>80</v>
      </c>
      <c r="D36" s="182">
        <f t="shared" si="0"/>
        <v>0</v>
      </c>
      <c r="E36" s="181">
        <v>130</v>
      </c>
      <c r="F36" s="183">
        <f t="shared" si="4"/>
        <v>0</v>
      </c>
      <c r="G36" s="233">
        <v>240</v>
      </c>
      <c r="H36" s="185">
        <f t="shared" si="5"/>
        <v>0</v>
      </c>
      <c r="I36" s="233">
        <v>240</v>
      </c>
      <c r="J36" s="186">
        <f t="shared" si="6"/>
        <v>0</v>
      </c>
    </row>
    <row r="37" spans="1:10" x14ac:dyDescent="0.35">
      <c r="A37" s="174" t="s">
        <v>27</v>
      </c>
      <c r="B37" s="175">
        <f>10/100*B4</f>
        <v>0</v>
      </c>
      <c r="C37" s="229">
        <v>7</v>
      </c>
      <c r="D37" s="210">
        <f t="shared" si="0"/>
        <v>0</v>
      </c>
      <c r="E37" s="229">
        <v>10</v>
      </c>
      <c r="F37" s="178">
        <f t="shared" si="4"/>
        <v>0</v>
      </c>
      <c r="G37" s="237">
        <v>8</v>
      </c>
      <c r="H37" s="213">
        <f t="shared" si="5"/>
        <v>0</v>
      </c>
      <c r="I37" s="237">
        <v>8</v>
      </c>
      <c r="J37" s="214">
        <f t="shared" si="6"/>
        <v>0</v>
      </c>
    </row>
    <row r="38" spans="1:10" x14ac:dyDescent="0.35">
      <c r="A38" s="179" t="s">
        <v>28</v>
      </c>
      <c r="B38" s="180">
        <f>4.9/100*B4</f>
        <v>0</v>
      </c>
      <c r="C38" s="181">
        <v>3</v>
      </c>
      <c r="D38" s="182">
        <f t="shared" si="0"/>
        <v>0</v>
      </c>
      <c r="E38" s="181">
        <v>5</v>
      </c>
      <c r="F38" s="183">
        <f t="shared" si="4"/>
        <v>0</v>
      </c>
      <c r="G38" s="233">
        <v>8</v>
      </c>
      <c r="H38" s="185">
        <f t="shared" si="5"/>
        <v>0</v>
      </c>
      <c r="I38" s="233">
        <v>8</v>
      </c>
      <c r="J38" s="186">
        <f t="shared" si="6"/>
        <v>0</v>
      </c>
    </row>
    <row r="39" spans="1:10" x14ac:dyDescent="0.35">
      <c r="A39" s="174" t="s">
        <v>29</v>
      </c>
      <c r="B39" s="212">
        <f>0.92/100*B4</f>
        <v>0</v>
      </c>
      <c r="C39" s="176">
        <v>1.2</v>
      </c>
      <c r="D39" s="210">
        <f t="shared" si="0"/>
        <v>0</v>
      </c>
      <c r="E39" s="176">
        <v>1.5</v>
      </c>
      <c r="F39" s="178">
        <f t="shared" si="4"/>
        <v>0</v>
      </c>
      <c r="G39" s="250">
        <v>1.9</v>
      </c>
      <c r="H39" s="160">
        <f t="shared" si="5"/>
        <v>0</v>
      </c>
      <c r="I39" s="250">
        <v>1.6</v>
      </c>
      <c r="J39" s="163">
        <f t="shared" si="6"/>
        <v>0</v>
      </c>
    </row>
    <row r="40" spans="1:10" x14ac:dyDescent="0.35">
      <c r="A40" s="179" t="s">
        <v>30</v>
      </c>
      <c r="B40" s="255">
        <f>560/100*B4</f>
        <v>0</v>
      </c>
      <c r="C40" s="181">
        <v>340</v>
      </c>
      <c r="D40" s="182">
        <f t="shared" si="0"/>
        <v>0</v>
      </c>
      <c r="E40" s="181">
        <v>440</v>
      </c>
      <c r="F40" s="183">
        <f t="shared" si="4"/>
        <v>0</v>
      </c>
      <c r="G40" s="233">
        <v>700</v>
      </c>
      <c r="H40" s="185">
        <f t="shared" si="5"/>
        <v>0</v>
      </c>
      <c r="I40" s="233">
        <v>700</v>
      </c>
      <c r="J40" s="186">
        <f t="shared" si="6"/>
        <v>0</v>
      </c>
    </row>
    <row r="41" spans="1:10" x14ac:dyDescent="0.35">
      <c r="A41" s="174" t="s">
        <v>31</v>
      </c>
      <c r="B41" s="175">
        <f>139/100*B4</f>
        <v>0</v>
      </c>
      <c r="C41" s="229">
        <v>90</v>
      </c>
      <c r="D41" s="210">
        <f t="shared" si="0"/>
        <v>0</v>
      </c>
      <c r="E41" s="229">
        <v>90</v>
      </c>
      <c r="F41" s="178">
        <f t="shared" si="4"/>
        <v>0</v>
      </c>
      <c r="G41" s="237">
        <v>120</v>
      </c>
      <c r="H41" s="213">
        <f t="shared" si="5"/>
        <v>0</v>
      </c>
      <c r="I41" s="237">
        <v>120</v>
      </c>
      <c r="J41" s="214">
        <f t="shared" si="6"/>
        <v>0</v>
      </c>
    </row>
    <row r="42" spans="1:10" x14ac:dyDescent="0.35">
      <c r="A42" s="179" t="s">
        <v>32</v>
      </c>
      <c r="B42" s="180">
        <f>25.5/100*B4</f>
        <v>0</v>
      </c>
      <c r="C42" s="181">
        <v>17</v>
      </c>
      <c r="D42" s="182">
        <f t="shared" si="0"/>
        <v>0</v>
      </c>
      <c r="E42" s="181">
        <v>22</v>
      </c>
      <c r="F42" s="183">
        <f t="shared" si="4"/>
        <v>0</v>
      </c>
      <c r="G42" s="233">
        <v>34</v>
      </c>
      <c r="H42" s="185">
        <f t="shared" si="5"/>
        <v>0</v>
      </c>
      <c r="I42" s="233">
        <v>34</v>
      </c>
      <c r="J42" s="186">
        <f t="shared" si="6"/>
        <v>0</v>
      </c>
    </row>
    <row r="43" spans="1:10" x14ac:dyDescent="0.35">
      <c r="A43" s="174" t="s">
        <v>33</v>
      </c>
      <c r="B43" s="175">
        <f>10.2/100*B4</f>
        <v>0</v>
      </c>
      <c r="C43" s="176">
        <v>11</v>
      </c>
      <c r="D43" s="210">
        <f t="shared" si="0"/>
        <v>0</v>
      </c>
      <c r="E43" s="176">
        <v>15</v>
      </c>
      <c r="F43" s="178">
        <f t="shared" si="4"/>
        <v>0</v>
      </c>
      <c r="G43" s="234">
        <v>25</v>
      </c>
      <c r="H43" s="160">
        <f t="shared" si="5"/>
        <v>0</v>
      </c>
      <c r="I43" s="234">
        <v>21</v>
      </c>
      <c r="J43" s="163">
        <f t="shared" si="6"/>
        <v>0</v>
      </c>
    </row>
    <row r="44" spans="1:10" x14ac:dyDescent="0.35">
      <c r="A44" s="179" t="s">
        <v>34</v>
      </c>
      <c r="B44" s="180">
        <f>28.2/100*B4</f>
        <v>0</v>
      </c>
      <c r="C44" s="245">
        <v>20</v>
      </c>
      <c r="D44" s="243">
        <f t="shared" si="0"/>
        <v>0</v>
      </c>
      <c r="E44" s="245">
        <v>30</v>
      </c>
      <c r="F44" s="244">
        <f t="shared" si="4"/>
        <v>0</v>
      </c>
      <c r="G44" s="233">
        <v>40</v>
      </c>
      <c r="H44" s="185">
        <f t="shared" si="5"/>
        <v>0</v>
      </c>
      <c r="I44" s="233">
        <v>40</v>
      </c>
      <c r="J44" s="186">
        <f t="shared" si="6"/>
        <v>0</v>
      </c>
    </row>
    <row r="45" spans="1:10" x14ac:dyDescent="0.35">
      <c r="A45" s="174" t="s">
        <v>35</v>
      </c>
      <c r="B45" s="254">
        <f>280/100*B4</f>
        <v>0</v>
      </c>
      <c r="C45" s="246">
        <v>800</v>
      </c>
      <c r="D45" s="223">
        <f>B45/C45</f>
        <v>0</v>
      </c>
      <c r="E45" s="246">
        <v>1000</v>
      </c>
      <c r="F45" s="224">
        <f>B45/E45</f>
        <v>0</v>
      </c>
      <c r="G45" s="234">
        <v>1200</v>
      </c>
      <c r="H45" s="160">
        <f t="shared" si="5"/>
        <v>0</v>
      </c>
      <c r="I45" s="234">
        <v>1200</v>
      </c>
      <c r="J45" s="163">
        <f t="shared" si="6"/>
        <v>0</v>
      </c>
    </row>
    <row r="46" spans="1:10" x14ac:dyDescent="0.35">
      <c r="A46" s="215" t="s">
        <v>36</v>
      </c>
      <c r="B46" s="256">
        <f>445/100*B4</f>
        <v>0</v>
      </c>
      <c r="C46" s="247">
        <v>2000</v>
      </c>
      <c r="D46" s="217">
        <f>B46/C46</f>
        <v>0</v>
      </c>
      <c r="E46" s="247">
        <v>2300</v>
      </c>
      <c r="F46" s="218">
        <f>B46/E46</f>
        <v>0</v>
      </c>
      <c r="G46" s="238">
        <v>2500</v>
      </c>
      <c r="H46" s="161">
        <f t="shared" si="5"/>
        <v>0</v>
      </c>
      <c r="I46" s="238">
        <v>2300</v>
      </c>
      <c r="J46" s="164">
        <f t="shared" si="6"/>
        <v>0</v>
      </c>
    </row>
    <row r="47" spans="1:10" ht="15" thickBot="1" x14ac:dyDescent="0.4">
      <c r="A47" s="225" t="s">
        <v>37</v>
      </c>
      <c r="B47" s="257">
        <f>406/100*B4</f>
        <v>0</v>
      </c>
      <c r="C47" s="248">
        <v>1500</v>
      </c>
      <c r="D47" s="226">
        <f>B47/C47</f>
        <v>0</v>
      </c>
      <c r="E47" s="248">
        <v>1900</v>
      </c>
      <c r="F47" s="227">
        <f>B47/E47</f>
        <v>0</v>
      </c>
      <c r="G47" s="251">
        <v>2300</v>
      </c>
      <c r="H47" s="221">
        <f t="shared" si="5"/>
        <v>0</v>
      </c>
      <c r="I47" s="251">
        <v>2300</v>
      </c>
      <c r="J47" s="222">
        <f t="shared" si="6"/>
        <v>0</v>
      </c>
    </row>
    <row r="48" spans="1:10" x14ac:dyDescent="0.35">
      <c r="A48" s="260" t="s">
        <v>62</v>
      </c>
    </row>
    <row r="49" spans="1:1" x14ac:dyDescent="0.35">
      <c r="A49" t="s">
        <v>63</v>
      </c>
    </row>
    <row r="50" spans="1:1" x14ac:dyDescent="0.35">
      <c r="A50" t="s">
        <v>61</v>
      </c>
    </row>
    <row r="51" spans="1:1" x14ac:dyDescent="0.35">
      <c r="A51" s="262" t="s">
        <v>111</v>
      </c>
    </row>
  </sheetData>
  <sheetProtection algorithmName="SHA-512" hashValue="HDobTR7oISUJMSUGcc4tLErTaZolRN7qcUta5hjWCJmwxTPb5Mg11Xh+0vpJSj0YgpO+0LFEv6mTWIBDKPFTAQ==" saltValue="uSenpo2k+IyvTg/PGNa++A==" spinCount="100000" sheet="1" objects="1" scenarios="1"/>
  <mergeCells count="4">
    <mergeCell ref="C2:J2"/>
    <mergeCell ref="A3:B3"/>
    <mergeCell ref="A17:B17"/>
    <mergeCell ref="A33:B3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:M27"/>
  <sheetViews>
    <sheetView showGridLines="0" zoomScale="80" zoomScaleNormal="80" workbookViewId="0">
      <selection activeCell="O14" sqref="O14"/>
    </sheetView>
  </sheetViews>
  <sheetFormatPr defaultColWidth="9.1796875" defaultRowHeight="14.5" x14ac:dyDescent="0.35"/>
  <cols>
    <col min="1" max="1" width="20.26953125" customWidth="1"/>
    <col min="2" max="2" width="21.1796875" customWidth="1"/>
    <col min="11" max="11" width="10.26953125" customWidth="1"/>
    <col min="12" max="12" width="7.81640625" customWidth="1"/>
  </cols>
  <sheetData>
    <row r="1" spans="1:13" ht="45" customHeight="1" x14ac:dyDescent="0.35">
      <c r="A1" s="371" t="s">
        <v>92</v>
      </c>
      <c r="B1" s="372"/>
      <c r="C1" s="275"/>
      <c r="D1" s="381" t="s">
        <v>99</v>
      </c>
      <c r="E1" s="382"/>
      <c r="F1" s="382"/>
      <c r="G1" s="382"/>
      <c r="H1" s="382"/>
      <c r="I1" s="275"/>
      <c r="J1" s="275"/>
    </row>
    <row r="2" spans="1:13" ht="45" customHeight="1" thickBot="1" x14ac:dyDescent="0.4">
      <c r="A2" s="14">
        <v>0</v>
      </c>
      <c r="D2" s="383"/>
      <c r="E2" s="383"/>
      <c r="F2" s="383"/>
      <c r="G2" s="383"/>
      <c r="H2" s="383"/>
    </row>
    <row r="3" spans="1:13" x14ac:dyDescent="0.35">
      <c r="A3" s="313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</row>
    <row r="4" spans="1:13" ht="15" thickBot="1" x14ac:dyDescent="0.4">
      <c r="A4" s="278"/>
      <c r="M4" s="315"/>
    </row>
    <row r="5" spans="1:13" x14ac:dyDescent="0.35">
      <c r="A5" s="373" t="s">
        <v>87</v>
      </c>
      <c r="B5" s="376" t="s">
        <v>86</v>
      </c>
      <c r="C5" s="376"/>
      <c r="D5" s="376"/>
      <c r="E5" s="376"/>
      <c r="F5" s="376"/>
      <c r="G5" s="376"/>
      <c r="H5" s="376"/>
      <c r="I5" s="376"/>
      <c r="J5" s="376"/>
      <c r="K5" s="376"/>
      <c r="L5" s="316"/>
      <c r="M5" s="9"/>
    </row>
    <row r="6" spans="1:13" x14ac:dyDescent="0.35">
      <c r="A6" s="374"/>
      <c r="B6" s="279"/>
      <c r="C6" s="280" t="s">
        <v>38</v>
      </c>
      <c r="D6" s="280" t="s">
        <v>39</v>
      </c>
      <c r="E6" s="280" t="s">
        <v>40</v>
      </c>
      <c r="F6" s="280" t="s">
        <v>41</v>
      </c>
      <c r="G6" s="280" t="s">
        <v>42</v>
      </c>
      <c r="H6" s="280" t="s">
        <v>43</v>
      </c>
      <c r="I6" s="280" t="s">
        <v>44</v>
      </c>
      <c r="J6" s="280" t="s">
        <v>45</v>
      </c>
      <c r="K6" s="280" t="s">
        <v>46</v>
      </c>
      <c r="L6" s="312" t="s">
        <v>47</v>
      </c>
      <c r="M6" s="9"/>
    </row>
    <row r="7" spans="1:13" x14ac:dyDescent="0.35">
      <c r="A7" s="374"/>
      <c r="B7" s="282" t="s">
        <v>102</v>
      </c>
      <c r="C7" s="283">
        <f>100*A2/13.5*0.9</f>
        <v>0</v>
      </c>
      <c r="D7" s="283">
        <f>100*A2/13.5*0.8</f>
        <v>0</v>
      </c>
      <c r="E7" s="283">
        <f>100*A2/13.5*0.7</f>
        <v>0</v>
      </c>
      <c r="F7" s="283">
        <f>100*A2/13.5*0.6</f>
        <v>0</v>
      </c>
      <c r="G7" s="283">
        <f>100*A2/13.5*0.5</f>
        <v>0</v>
      </c>
      <c r="H7" s="283">
        <f>100*A2/13.5*0.4</f>
        <v>0</v>
      </c>
      <c r="I7" s="283">
        <f>100*A2/13.5*0.3</f>
        <v>0</v>
      </c>
      <c r="J7" s="283">
        <f>100*A2/13.5*0.2</f>
        <v>0</v>
      </c>
      <c r="K7" s="283">
        <f>100*A2/13.5*0.1</f>
        <v>0</v>
      </c>
      <c r="L7" s="283">
        <f>100*A2/13.5*0</f>
        <v>0</v>
      </c>
      <c r="M7" s="9"/>
    </row>
    <row r="8" spans="1:13" x14ac:dyDescent="0.35">
      <c r="A8" s="374"/>
      <c r="B8" s="285" t="s">
        <v>103</v>
      </c>
      <c r="C8" s="286">
        <f>100*A2/28*0.1</f>
        <v>0</v>
      </c>
      <c r="D8" s="286">
        <f>100*A2/28*0.2</f>
        <v>0</v>
      </c>
      <c r="E8" s="286">
        <f>100*A2/28*0.3</f>
        <v>0</v>
      </c>
      <c r="F8" s="286">
        <f>100*A2/28*0.4</f>
        <v>0</v>
      </c>
      <c r="G8" s="286">
        <f>100*A2/28*0.5</f>
        <v>0</v>
      </c>
      <c r="H8" s="286">
        <f>100*A2/28*0.6</f>
        <v>0</v>
      </c>
      <c r="I8" s="286">
        <f>100*A2/28*0.7</f>
        <v>0</v>
      </c>
      <c r="J8" s="286">
        <f>100*A2/28*0.8</f>
        <v>0</v>
      </c>
      <c r="K8" s="286">
        <f>100*A2/28*0.9</f>
        <v>0</v>
      </c>
      <c r="L8" s="286">
        <f>100*A2/28*1</f>
        <v>0</v>
      </c>
      <c r="M8" s="9"/>
    </row>
    <row r="9" spans="1:13" ht="15" thickBot="1" x14ac:dyDescent="0.4">
      <c r="A9" s="375"/>
      <c r="B9" s="288" t="s">
        <v>90</v>
      </c>
      <c r="C9" s="289">
        <f t="shared" ref="C9:H9" si="0">(C7*473/100)+(C8*385/100)</f>
        <v>0</v>
      </c>
      <c r="D9" s="289">
        <f t="shared" si="0"/>
        <v>0</v>
      </c>
      <c r="E9" s="289">
        <f t="shared" si="0"/>
        <v>0</v>
      </c>
      <c r="F9" s="289">
        <f t="shared" si="0"/>
        <v>0</v>
      </c>
      <c r="G9" s="289">
        <f t="shared" si="0"/>
        <v>0</v>
      </c>
      <c r="H9" s="289">
        <f t="shared" si="0"/>
        <v>0</v>
      </c>
      <c r="I9" s="311">
        <f>(I7*473/100)+(I8*385/100)</f>
        <v>0</v>
      </c>
      <c r="J9" s="311">
        <f>(J7*473/100)+(J8*385/100)</f>
        <v>0</v>
      </c>
      <c r="K9" s="311">
        <f>(K8*473/100)+(K7*385/100)</f>
        <v>0</v>
      </c>
      <c r="L9" s="311">
        <f>(L8*473/100)+(L7*385/100)</f>
        <v>0</v>
      </c>
      <c r="M9" s="9"/>
    </row>
    <row r="10" spans="1:13" x14ac:dyDescent="0.35">
      <c r="A10" s="278"/>
      <c r="B10" s="291"/>
      <c r="C10" s="292"/>
      <c r="D10" s="292"/>
      <c r="E10" s="292"/>
      <c r="F10" s="292"/>
      <c r="M10" s="9"/>
    </row>
    <row r="11" spans="1:13" ht="15" thickBot="1" x14ac:dyDescent="0.4">
      <c r="A11" s="278"/>
      <c r="M11" s="9"/>
    </row>
    <row r="12" spans="1:13" x14ac:dyDescent="0.35">
      <c r="A12" s="377" t="s">
        <v>89</v>
      </c>
      <c r="B12" s="380" t="s">
        <v>91</v>
      </c>
      <c r="C12" s="369"/>
      <c r="D12" s="369"/>
      <c r="E12" s="369"/>
      <c r="F12" s="369"/>
      <c r="G12" s="369"/>
      <c r="H12" s="370"/>
      <c r="M12" s="9"/>
    </row>
    <row r="13" spans="1:13" x14ac:dyDescent="0.35">
      <c r="A13" s="378"/>
      <c r="B13" s="279"/>
      <c r="C13" s="280" t="s">
        <v>38</v>
      </c>
      <c r="D13" s="280" t="s">
        <v>39</v>
      </c>
      <c r="E13" s="280" t="s">
        <v>40</v>
      </c>
      <c r="F13" s="280" t="s">
        <v>41</v>
      </c>
      <c r="G13" s="280" t="s">
        <v>42</v>
      </c>
      <c r="H13" s="281" t="s">
        <v>43</v>
      </c>
      <c r="M13" s="9"/>
    </row>
    <row r="14" spans="1:13" x14ac:dyDescent="0.35">
      <c r="A14" s="378"/>
      <c r="B14" s="282" t="s">
        <v>102</v>
      </c>
      <c r="C14" s="283">
        <f>100*A2/13.5*0.833</f>
        <v>0</v>
      </c>
      <c r="D14" s="283">
        <f>100*A2/13.5*0.667</f>
        <v>0</v>
      </c>
      <c r="E14" s="283">
        <f>100*A2/13.5*0.5</f>
        <v>0</v>
      </c>
      <c r="F14" s="283">
        <f>100*A2/13.5*0.333</f>
        <v>0</v>
      </c>
      <c r="G14" s="283">
        <f>100*A2/13.5*0.167</f>
        <v>0</v>
      </c>
      <c r="H14" s="284">
        <f>100*A2/13.5*0</f>
        <v>0</v>
      </c>
      <c r="M14" s="9"/>
    </row>
    <row r="15" spans="1:13" x14ac:dyDescent="0.35">
      <c r="A15" s="378"/>
      <c r="B15" s="285" t="s">
        <v>103</v>
      </c>
      <c r="C15" s="286">
        <f>100*A2/28*0.167</f>
        <v>0</v>
      </c>
      <c r="D15" s="286">
        <f>100*A2/28*0.333</f>
        <v>0</v>
      </c>
      <c r="E15" s="286">
        <f>100*A2/28*0.5</f>
        <v>0</v>
      </c>
      <c r="F15" s="286">
        <f>100*A2/28*0.667</f>
        <v>0</v>
      </c>
      <c r="G15" s="286">
        <f>100*A2/28*0.833</f>
        <v>0</v>
      </c>
      <c r="H15" s="287">
        <f>100*A2/28*1</f>
        <v>0</v>
      </c>
      <c r="M15" s="9"/>
    </row>
    <row r="16" spans="1:13" ht="15" thickBot="1" x14ac:dyDescent="0.4">
      <c r="A16" s="379"/>
      <c r="B16" s="293" t="s">
        <v>90</v>
      </c>
      <c r="C16" s="289">
        <f t="shared" ref="C16:H16" si="1">(C14*473/100)+(C15*385/100)</f>
        <v>0</v>
      </c>
      <c r="D16" s="289">
        <f t="shared" si="1"/>
        <v>0</v>
      </c>
      <c r="E16" s="289">
        <f t="shared" si="1"/>
        <v>0</v>
      </c>
      <c r="F16" s="289">
        <f t="shared" si="1"/>
        <v>0</v>
      </c>
      <c r="G16" s="289">
        <f t="shared" si="1"/>
        <v>0</v>
      </c>
      <c r="H16" s="290">
        <f t="shared" si="1"/>
        <v>0</v>
      </c>
      <c r="M16" s="9"/>
    </row>
    <row r="17" spans="1:13" x14ac:dyDescent="0.35">
      <c r="A17" s="278"/>
      <c r="B17" s="291"/>
      <c r="C17" s="294"/>
      <c r="D17" s="294"/>
      <c r="E17" s="294"/>
      <c r="F17" s="294"/>
      <c r="G17" s="294"/>
      <c r="H17" s="294"/>
      <c r="M17" s="9"/>
    </row>
    <row r="18" spans="1:13" ht="15" thickBot="1" x14ac:dyDescent="0.4">
      <c r="A18" s="278"/>
      <c r="M18" s="9"/>
    </row>
    <row r="19" spans="1:13" x14ac:dyDescent="0.35">
      <c r="A19" s="366" t="s">
        <v>88</v>
      </c>
      <c r="B19" s="369" t="s">
        <v>50</v>
      </c>
      <c r="C19" s="369"/>
      <c r="D19" s="369"/>
      <c r="E19" s="369"/>
      <c r="F19" s="370"/>
      <c r="M19" s="9"/>
    </row>
    <row r="20" spans="1:13" x14ac:dyDescent="0.35">
      <c r="A20" s="367"/>
      <c r="B20" s="295"/>
      <c r="C20" s="280" t="s">
        <v>38</v>
      </c>
      <c r="D20" s="280" t="s">
        <v>39</v>
      </c>
      <c r="E20" s="280" t="s">
        <v>40</v>
      </c>
      <c r="F20" s="281" t="s">
        <v>41</v>
      </c>
      <c r="M20" s="9"/>
    </row>
    <row r="21" spans="1:13" x14ac:dyDescent="0.35">
      <c r="A21" s="367"/>
      <c r="B21" s="282" t="s">
        <v>102</v>
      </c>
      <c r="C21" s="283">
        <f>100*A2/13.5*0.75</f>
        <v>0</v>
      </c>
      <c r="D21" s="283">
        <f>100*A2/13.5*0.5</f>
        <v>0</v>
      </c>
      <c r="E21" s="283">
        <f>100*A2/13.5*0.25</f>
        <v>0</v>
      </c>
      <c r="F21" s="284">
        <f>100/13.5*A2*0</f>
        <v>0</v>
      </c>
      <c r="M21" s="9"/>
    </row>
    <row r="22" spans="1:13" x14ac:dyDescent="0.35">
      <c r="A22" s="367"/>
      <c r="B22" s="285" t="s">
        <v>103</v>
      </c>
      <c r="C22" s="286">
        <f>100*A2/28*0.25</f>
        <v>0</v>
      </c>
      <c r="D22" s="286">
        <f>100*A2/28*0.5</f>
        <v>0</v>
      </c>
      <c r="E22" s="286">
        <f>100*A2/28*0.75</f>
        <v>0</v>
      </c>
      <c r="F22" s="287">
        <f>100*A2/28*1</f>
        <v>0</v>
      </c>
      <c r="M22" s="9"/>
    </row>
    <row r="23" spans="1:13" ht="15" thickBot="1" x14ac:dyDescent="0.4">
      <c r="A23" s="368"/>
      <c r="B23" s="293" t="s">
        <v>90</v>
      </c>
      <c r="C23" s="289">
        <f>(C21*473/100)+(C22*385/100)</f>
        <v>0</v>
      </c>
      <c r="D23" s="289">
        <f>(D21*473/100)+(D22*385/100)</f>
        <v>0</v>
      </c>
      <c r="E23" s="289">
        <f>(E21*473/100)+(E22*385/100)</f>
        <v>0</v>
      </c>
      <c r="F23" s="290">
        <f>(F21*473/100)+(F22*385/100)</f>
        <v>0</v>
      </c>
      <c r="M23" s="9"/>
    </row>
    <row r="24" spans="1:13" x14ac:dyDescent="0.35">
      <c r="A24" s="278"/>
      <c r="M24" s="9"/>
    </row>
    <row r="25" spans="1:13" ht="15" thickBot="1" x14ac:dyDescent="0.4">
      <c r="A25" s="265"/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317"/>
    </row>
    <row r="26" spans="1:13" x14ac:dyDescent="0.35">
      <c r="A26" s="329" t="s">
        <v>112</v>
      </c>
    </row>
    <row r="27" spans="1:13" x14ac:dyDescent="0.35">
      <c r="A27" s="297" t="s">
        <v>106</v>
      </c>
    </row>
  </sheetData>
  <sheetProtection algorithmName="SHA-512" hashValue="VHSi7AItXmD5nffbl+A42sSVInmLAF/yLOL8MarARtBfzrmRn4prXq1stOrIweeNQ2wkx6+dnrlTbNPYsfbnSw==" saltValue="+pki+S1/jDwVv/Gp1X93tw==" spinCount="100000" sheet="1" objects="1" scenarios="1"/>
  <mergeCells count="8">
    <mergeCell ref="A19:A23"/>
    <mergeCell ref="B19:F19"/>
    <mergeCell ref="A1:B1"/>
    <mergeCell ref="A5:A9"/>
    <mergeCell ref="B5:K5"/>
    <mergeCell ref="A12:A16"/>
    <mergeCell ref="B12:H12"/>
    <mergeCell ref="D1:H2"/>
  </mergeCells>
  <phoneticPr fontId="54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499984740745262"/>
  </sheetPr>
  <dimension ref="A1:L33"/>
  <sheetViews>
    <sheetView showGridLines="0" zoomScale="80" zoomScaleNormal="80" workbookViewId="0">
      <selection activeCell="O11" sqref="O11"/>
    </sheetView>
  </sheetViews>
  <sheetFormatPr defaultColWidth="9.1796875" defaultRowHeight="14.5" x14ac:dyDescent="0.35"/>
  <cols>
    <col min="1" max="1" width="20.26953125" customWidth="1"/>
    <col min="2" max="2" width="21.453125" customWidth="1"/>
    <col min="13" max="13" width="4.26953125" customWidth="1"/>
  </cols>
  <sheetData>
    <row r="1" spans="1:12" ht="45" customHeight="1" x14ac:dyDescent="0.35">
      <c r="A1" s="371" t="s">
        <v>92</v>
      </c>
      <c r="B1" s="372"/>
      <c r="C1" s="275"/>
      <c r="D1" s="381" t="s">
        <v>100</v>
      </c>
      <c r="E1" s="381"/>
      <c r="F1" s="381"/>
      <c r="G1" s="381"/>
      <c r="H1" s="381"/>
      <c r="I1" s="381"/>
      <c r="J1" s="298"/>
      <c r="K1" s="275"/>
      <c r="L1" s="276"/>
    </row>
    <row r="2" spans="1:12" ht="45" customHeight="1" thickBot="1" x14ac:dyDescent="0.4">
      <c r="A2" s="1">
        <v>0</v>
      </c>
      <c r="D2" s="385"/>
      <c r="E2" s="385"/>
      <c r="F2" s="385"/>
      <c r="G2" s="385"/>
      <c r="H2" s="385"/>
      <c r="I2" s="385"/>
      <c r="J2" s="299"/>
      <c r="L2" s="277"/>
    </row>
    <row r="3" spans="1:12" x14ac:dyDescent="0.35">
      <c r="A3" s="278"/>
      <c r="L3" s="277"/>
    </row>
    <row r="4" spans="1:12" ht="15" thickBot="1" x14ac:dyDescent="0.4">
      <c r="A4" s="278"/>
      <c r="L4" s="277"/>
    </row>
    <row r="5" spans="1:12" x14ac:dyDescent="0.35">
      <c r="A5" s="386" t="s">
        <v>93</v>
      </c>
      <c r="B5" s="369" t="s">
        <v>86</v>
      </c>
      <c r="C5" s="369"/>
      <c r="D5" s="369"/>
      <c r="E5" s="369"/>
      <c r="F5" s="369"/>
      <c r="G5" s="369"/>
      <c r="H5" s="369"/>
      <c r="I5" s="369"/>
      <c r="J5" s="369"/>
      <c r="K5" s="369"/>
      <c r="L5" s="370"/>
    </row>
    <row r="6" spans="1:12" x14ac:dyDescent="0.35">
      <c r="A6" s="374"/>
      <c r="B6" s="295"/>
      <c r="C6" s="280" t="s">
        <v>38</v>
      </c>
      <c r="D6" s="280" t="s">
        <v>39</v>
      </c>
      <c r="E6" s="280" t="s">
        <v>40</v>
      </c>
      <c r="F6" s="280" t="s">
        <v>41</v>
      </c>
      <c r="G6" s="280" t="s">
        <v>42</v>
      </c>
      <c r="H6" s="280" t="s">
        <v>43</v>
      </c>
      <c r="I6" s="280" t="s">
        <v>44</v>
      </c>
      <c r="J6" s="280" t="s">
        <v>45</v>
      </c>
      <c r="K6" s="280" t="s">
        <v>46</v>
      </c>
      <c r="L6" s="281" t="s">
        <v>47</v>
      </c>
    </row>
    <row r="7" spans="1:12" x14ac:dyDescent="0.35">
      <c r="A7" s="374"/>
      <c r="B7" s="302" t="s">
        <v>104</v>
      </c>
      <c r="C7" s="303">
        <f>100*A2/15*0.9</f>
        <v>0</v>
      </c>
      <c r="D7" s="303">
        <f>100*A2/15*0.8</f>
        <v>0</v>
      </c>
      <c r="E7" s="303">
        <f>100*A2/15*0.7</f>
        <v>0</v>
      </c>
      <c r="F7" s="303">
        <f>100*A2/15*0.6</f>
        <v>0</v>
      </c>
      <c r="G7" s="303">
        <f>100*A2/15*0.5</f>
        <v>0</v>
      </c>
      <c r="H7" s="303">
        <f>100*A2/15*0.4</f>
        <v>0</v>
      </c>
      <c r="I7" s="303">
        <f>100*A2/15*0.3</f>
        <v>0</v>
      </c>
      <c r="J7" s="303">
        <f>100*A2/15*0.2</f>
        <v>0</v>
      </c>
      <c r="K7" s="303">
        <f>100*A2/15*0.1</f>
        <v>0</v>
      </c>
      <c r="L7" s="304">
        <f>100*A2/15*0</f>
        <v>0</v>
      </c>
    </row>
    <row r="8" spans="1:12" x14ac:dyDescent="0.35">
      <c r="A8" s="374"/>
      <c r="B8" s="305" t="s">
        <v>102</v>
      </c>
      <c r="C8" s="306">
        <f>100*A2/13.5*0.1</f>
        <v>0</v>
      </c>
      <c r="D8" s="306">
        <f>100*A2/13.5*0.2</f>
        <v>0</v>
      </c>
      <c r="E8" s="306">
        <f>100*A2/13.5*0.3</f>
        <v>0</v>
      </c>
      <c r="F8" s="306">
        <f>100*A2/13.5*0.4</f>
        <v>0</v>
      </c>
      <c r="G8" s="306">
        <f>100*A2/13.5*0.5</f>
        <v>0</v>
      </c>
      <c r="H8" s="306">
        <f>100*A2/13.5*0.6</f>
        <v>0</v>
      </c>
      <c r="I8" s="306">
        <f>100*A2/13.5*0.7</f>
        <v>0</v>
      </c>
      <c r="J8" s="306">
        <f>100*A2/13.5*0.8</f>
        <v>0</v>
      </c>
      <c r="K8" s="306">
        <f>100*A2/13.5*0.9</f>
        <v>0</v>
      </c>
      <c r="L8" s="307">
        <f>100*A2/13.5*1</f>
        <v>0</v>
      </c>
    </row>
    <row r="9" spans="1:12" x14ac:dyDescent="0.35">
      <c r="A9" s="374"/>
      <c r="B9" s="331" t="s">
        <v>90</v>
      </c>
      <c r="C9" s="332">
        <f t="shared" ref="C9:L9" si="0">(C7*480/100)+(C8*473/100)</f>
        <v>0</v>
      </c>
      <c r="D9" s="332">
        <f t="shared" si="0"/>
        <v>0</v>
      </c>
      <c r="E9" s="332">
        <f t="shared" si="0"/>
        <v>0</v>
      </c>
      <c r="F9" s="332">
        <f t="shared" si="0"/>
        <v>0</v>
      </c>
      <c r="G9" s="332">
        <f t="shared" si="0"/>
        <v>0</v>
      </c>
      <c r="H9" s="332">
        <f t="shared" si="0"/>
        <v>0</v>
      </c>
      <c r="I9" s="332">
        <f t="shared" si="0"/>
        <v>0</v>
      </c>
      <c r="J9" s="332">
        <f t="shared" si="0"/>
        <v>0</v>
      </c>
      <c r="K9" s="332">
        <f t="shared" si="0"/>
        <v>0</v>
      </c>
      <c r="L9" s="333">
        <f t="shared" si="0"/>
        <v>0</v>
      </c>
    </row>
    <row r="10" spans="1:12" ht="15" thickBot="1" x14ac:dyDescent="0.4">
      <c r="A10" s="375"/>
      <c r="B10" s="293" t="s">
        <v>48</v>
      </c>
      <c r="C10" s="300">
        <f t="shared" ref="C10:L10" si="1">C8*5.3/100</f>
        <v>0</v>
      </c>
      <c r="D10" s="300">
        <f t="shared" si="1"/>
        <v>0</v>
      </c>
      <c r="E10" s="300">
        <f t="shared" si="1"/>
        <v>0</v>
      </c>
      <c r="F10" s="300">
        <f t="shared" si="1"/>
        <v>0</v>
      </c>
      <c r="G10" s="300">
        <f t="shared" si="1"/>
        <v>0</v>
      </c>
      <c r="H10" s="300">
        <f t="shared" si="1"/>
        <v>0</v>
      </c>
      <c r="I10" s="300">
        <f t="shared" si="1"/>
        <v>0</v>
      </c>
      <c r="J10" s="300">
        <f t="shared" si="1"/>
        <v>0</v>
      </c>
      <c r="K10" s="300">
        <f t="shared" si="1"/>
        <v>0</v>
      </c>
      <c r="L10" s="301">
        <f t="shared" si="1"/>
        <v>0</v>
      </c>
    </row>
    <row r="11" spans="1:12" x14ac:dyDescent="0.35">
      <c r="A11" s="278"/>
      <c r="B11" s="291"/>
      <c r="C11" s="292"/>
      <c r="D11" s="292"/>
      <c r="E11" s="292"/>
      <c r="F11" s="292"/>
      <c r="L11" s="277"/>
    </row>
    <row r="12" spans="1:12" ht="15" thickBot="1" x14ac:dyDescent="0.4">
      <c r="A12" s="278"/>
      <c r="L12" s="277"/>
    </row>
    <row r="13" spans="1:12" x14ac:dyDescent="0.35">
      <c r="A13" s="377" t="s">
        <v>94</v>
      </c>
      <c r="B13" s="369" t="s">
        <v>49</v>
      </c>
      <c r="C13" s="369"/>
      <c r="D13" s="369"/>
      <c r="E13" s="369"/>
      <c r="F13" s="369"/>
      <c r="G13" s="369"/>
      <c r="H13" s="369"/>
      <c r="I13" s="370"/>
      <c r="L13" s="277"/>
    </row>
    <row r="14" spans="1:12" x14ac:dyDescent="0.35">
      <c r="A14" s="378"/>
      <c r="B14" s="295"/>
      <c r="C14" s="280" t="s">
        <v>38</v>
      </c>
      <c r="D14" s="280" t="s">
        <v>39</v>
      </c>
      <c r="E14" s="280" t="s">
        <v>40</v>
      </c>
      <c r="F14" s="280" t="s">
        <v>41</v>
      </c>
      <c r="G14" s="280" t="s">
        <v>42</v>
      </c>
      <c r="H14" s="280" t="s">
        <v>43</v>
      </c>
      <c r="I14" s="281" t="s">
        <v>44</v>
      </c>
      <c r="L14" s="277"/>
    </row>
    <row r="15" spans="1:12" x14ac:dyDescent="0.35">
      <c r="A15" s="378"/>
      <c r="B15" s="302" t="s">
        <v>104</v>
      </c>
      <c r="C15" s="303">
        <f>100*A2/15*0.857</f>
        <v>0</v>
      </c>
      <c r="D15" s="303">
        <f>100*A2/15*0.714</f>
        <v>0</v>
      </c>
      <c r="E15" s="303">
        <f>100*A2/15*0.571</f>
        <v>0</v>
      </c>
      <c r="F15" s="303">
        <f>100*A2/15*0.429</f>
        <v>0</v>
      </c>
      <c r="G15" s="303">
        <f>100*A2/15*0.286</f>
        <v>0</v>
      </c>
      <c r="H15" s="303">
        <f>100*A2/15*0.143</f>
        <v>0</v>
      </c>
      <c r="I15" s="304">
        <f>100*A2/15*0</f>
        <v>0</v>
      </c>
      <c r="L15" s="277"/>
    </row>
    <row r="16" spans="1:12" x14ac:dyDescent="0.35">
      <c r="A16" s="378"/>
      <c r="B16" s="305" t="s">
        <v>102</v>
      </c>
      <c r="C16" s="306">
        <f>100*A2/13.5*0.143</f>
        <v>0</v>
      </c>
      <c r="D16" s="306">
        <f>100*A2/13.5*0.286</f>
        <v>0</v>
      </c>
      <c r="E16" s="306">
        <f>100*A2/13.5*0.429</f>
        <v>0</v>
      </c>
      <c r="F16" s="306">
        <f>100*A2/13.5*0.571</f>
        <v>0</v>
      </c>
      <c r="G16" s="306">
        <f>100*A2/13.5*0.714</f>
        <v>0</v>
      </c>
      <c r="H16" s="306">
        <f>100*A2/13.5*0.857</f>
        <v>0</v>
      </c>
      <c r="I16" s="307">
        <f>100*A2/13.5*1</f>
        <v>0</v>
      </c>
      <c r="L16" s="277"/>
    </row>
    <row r="17" spans="1:12" x14ac:dyDescent="0.35">
      <c r="A17" s="378"/>
      <c r="B17" s="331" t="s">
        <v>90</v>
      </c>
      <c r="C17" s="332">
        <f t="shared" ref="C17:I17" si="2">(C15*480/100)+(C16*473/100)</f>
        <v>0</v>
      </c>
      <c r="D17" s="332">
        <f t="shared" si="2"/>
        <v>0</v>
      </c>
      <c r="E17" s="332">
        <f t="shared" si="2"/>
        <v>0</v>
      </c>
      <c r="F17" s="332">
        <f t="shared" si="2"/>
        <v>0</v>
      </c>
      <c r="G17" s="332">
        <f t="shared" si="2"/>
        <v>0</v>
      </c>
      <c r="H17" s="332">
        <f t="shared" si="2"/>
        <v>0</v>
      </c>
      <c r="I17" s="333">
        <f t="shared" si="2"/>
        <v>0</v>
      </c>
      <c r="L17" s="277"/>
    </row>
    <row r="18" spans="1:12" ht="15" thickBot="1" x14ac:dyDescent="0.4">
      <c r="A18" s="379"/>
      <c r="B18" s="293" t="s">
        <v>48</v>
      </c>
      <c r="C18" s="300">
        <f t="shared" ref="C18:I18" si="3">C16*5.3/100</f>
        <v>0</v>
      </c>
      <c r="D18" s="300">
        <f t="shared" si="3"/>
        <v>0</v>
      </c>
      <c r="E18" s="300">
        <f t="shared" si="3"/>
        <v>0</v>
      </c>
      <c r="F18" s="300">
        <f t="shared" si="3"/>
        <v>0</v>
      </c>
      <c r="G18" s="300">
        <f t="shared" si="3"/>
        <v>0</v>
      </c>
      <c r="H18" s="300">
        <f t="shared" si="3"/>
        <v>0</v>
      </c>
      <c r="I18" s="301">
        <f t="shared" si="3"/>
        <v>0</v>
      </c>
      <c r="J18" s="291" t="s">
        <v>1</v>
      </c>
      <c r="L18" s="277"/>
    </row>
    <row r="19" spans="1:12" x14ac:dyDescent="0.35">
      <c r="A19" s="278"/>
      <c r="B19" s="291"/>
      <c r="C19" s="294"/>
      <c r="D19" s="294"/>
      <c r="E19" s="294"/>
      <c r="F19" s="294"/>
      <c r="G19" s="294"/>
      <c r="H19" s="294"/>
      <c r="I19" s="294"/>
      <c r="L19" s="277"/>
    </row>
    <row r="20" spans="1:12" ht="15" thickBot="1" x14ac:dyDescent="0.4">
      <c r="A20" s="278"/>
      <c r="L20" s="277"/>
    </row>
    <row r="21" spans="1:12" x14ac:dyDescent="0.35">
      <c r="A21" s="366" t="s">
        <v>88</v>
      </c>
      <c r="B21" s="369" t="s">
        <v>50</v>
      </c>
      <c r="C21" s="369"/>
      <c r="D21" s="369"/>
      <c r="E21" s="369"/>
      <c r="F21" s="370"/>
      <c r="L21" s="277"/>
    </row>
    <row r="22" spans="1:12" x14ac:dyDescent="0.35">
      <c r="A22" s="367"/>
      <c r="B22" s="295"/>
      <c r="C22" s="280" t="s">
        <v>38</v>
      </c>
      <c r="D22" s="280" t="s">
        <v>39</v>
      </c>
      <c r="E22" s="280" t="s">
        <v>40</v>
      </c>
      <c r="F22" s="281" t="s">
        <v>41</v>
      </c>
      <c r="L22" s="277"/>
    </row>
    <row r="23" spans="1:12" x14ac:dyDescent="0.35">
      <c r="A23" s="367"/>
      <c r="B23" s="302" t="s">
        <v>104</v>
      </c>
      <c r="C23" s="303">
        <f>100*A2/15*0.75</f>
        <v>0</v>
      </c>
      <c r="D23" s="303">
        <f>100*A2/15*0.5</f>
        <v>0</v>
      </c>
      <c r="E23" s="303">
        <f>100*A2/15*0.25</f>
        <v>0</v>
      </c>
      <c r="F23" s="304">
        <f>100/15*A2*0</f>
        <v>0</v>
      </c>
      <c r="L23" s="277"/>
    </row>
    <row r="24" spans="1:12" x14ac:dyDescent="0.35">
      <c r="A24" s="367"/>
      <c r="B24" s="305" t="s">
        <v>102</v>
      </c>
      <c r="C24" s="306">
        <f>100*A2/13.5*0.25</f>
        <v>0</v>
      </c>
      <c r="D24" s="306">
        <f>100*A2/13.5*0.5</f>
        <v>0</v>
      </c>
      <c r="E24" s="306">
        <f>100*A2/13.5*0.75</f>
        <v>0</v>
      </c>
      <c r="F24" s="307">
        <f>100*A2/13.5*1</f>
        <v>0</v>
      </c>
      <c r="L24" s="277"/>
    </row>
    <row r="25" spans="1:12" x14ac:dyDescent="0.35">
      <c r="A25" s="367"/>
      <c r="B25" s="331" t="s">
        <v>90</v>
      </c>
      <c r="C25" s="332">
        <f>(C23*480/100)+(C24*473/100)</f>
        <v>0</v>
      </c>
      <c r="D25" s="332">
        <f>(D23*480/100)+(D24*473/100)</f>
        <v>0</v>
      </c>
      <c r="E25" s="332">
        <f>(E23*480/100)+(E24*473/100)</f>
        <v>0</v>
      </c>
      <c r="F25" s="333">
        <f>(F23*480/100)+(F24*473/100)</f>
        <v>0</v>
      </c>
      <c r="L25" s="277"/>
    </row>
    <row r="26" spans="1:12" ht="15" thickBot="1" x14ac:dyDescent="0.4">
      <c r="A26" s="368"/>
      <c r="B26" s="293" t="s">
        <v>48</v>
      </c>
      <c r="C26" s="300">
        <f>C24*5.3/100</f>
        <v>0</v>
      </c>
      <c r="D26" s="300">
        <f>D24*5.3/100</f>
        <v>0</v>
      </c>
      <c r="E26" s="300">
        <f>E24*5.3/100</f>
        <v>0</v>
      </c>
      <c r="F26" s="301">
        <f>F24*5.3/100</f>
        <v>0</v>
      </c>
      <c r="L26" s="277"/>
    </row>
    <row r="27" spans="1:12" x14ac:dyDescent="0.35">
      <c r="A27" s="278"/>
      <c r="L27" s="277"/>
    </row>
    <row r="28" spans="1:12" ht="15" thickBot="1" x14ac:dyDescent="0.4">
      <c r="A28" s="296"/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6"/>
    </row>
    <row r="30" spans="1:12" x14ac:dyDescent="0.35">
      <c r="A30" s="328" t="s">
        <v>108</v>
      </c>
    </row>
    <row r="31" spans="1:12" ht="11.5" customHeight="1" x14ac:dyDescent="0.35">
      <c r="B31" s="384"/>
      <c r="C31" s="384"/>
      <c r="D31" s="384"/>
      <c r="E31" s="384"/>
      <c r="F31" s="384"/>
      <c r="G31" s="384"/>
      <c r="H31" s="384"/>
    </row>
    <row r="32" spans="1:12" x14ac:dyDescent="0.35">
      <c r="A32" s="262" t="s">
        <v>110</v>
      </c>
    </row>
    <row r="33" spans="1:1" x14ac:dyDescent="0.35">
      <c r="A33" s="297" t="s">
        <v>106</v>
      </c>
    </row>
  </sheetData>
  <sheetProtection algorithmName="SHA-512" hashValue="lJrRNcgVXZtJT1HRE8TFlCUQwqfD92hVK09YZ/Q7sjhemMO+sQOhD0kj9yhBCXCdyZRVutLtdmTemYgRbgZm1w==" saltValue="K242FWVl0hPkOEBwZ77gOw==" spinCount="100000" sheet="1" objects="1" scenarios="1"/>
  <mergeCells count="9">
    <mergeCell ref="A21:A26"/>
    <mergeCell ref="B21:F21"/>
    <mergeCell ref="B31:H31"/>
    <mergeCell ref="A1:B1"/>
    <mergeCell ref="D1:I2"/>
    <mergeCell ref="A5:A10"/>
    <mergeCell ref="B5:L5"/>
    <mergeCell ref="A13:A18"/>
    <mergeCell ref="B13:I1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3C7D7-BDBE-4A33-9F27-61794F611237}">
  <sheetPr>
    <tabColor theme="6" tint="-0.249977111117893"/>
  </sheetPr>
  <dimension ref="A1:L33"/>
  <sheetViews>
    <sheetView showGridLines="0" zoomScale="80" zoomScaleNormal="80" workbookViewId="0">
      <selection activeCell="Q11" sqref="Q11"/>
    </sheetView>
  </sheetViews>
  <sheetFormatPr defaultColWidth="9.1796875" defaultRowHeight="14.5" x14ac:dyDescent="0.35"/>
  <cols>
    <col min="1" max="1" width="20.26953125" customWidth="1"/>
    <col min="2" max="2" width="21.453125" customWidth="1"/>
    <col min="13" max="13" width="4.26953125" customWidth="1"/>
  </cols>
  <sheetData>
    <row r="1" spans="1:12" ht="45" customHeight="1" x14ac:dyDescent="0.35">
      <c r="A1" s="371" t="s">
        <v>92</v>
      </c>
      <c r="B1" s="372"/>
      <c r="C1" s="275"/>
      <c r="D1" s="381" t="s">
        <v>101</v>
      </c>
      <c r="E1" s="381"/>
      <c r="F1" s="381"/>
      <c r="G1" s="381"/>
      <c r="H1" s="381"/>
      <c r="I1" s="381"/>
      <c r="J1" s="298"/>
      <c r="K1" s="275"/>
      <c r="L1" s="276"/>
    </row>
    <row r="2" spans="1:12" ht="45" customHeight="1" thickBot="1" x14ac:dyDescent="0.4">
      <c r="A2" s="1">
        <v>0</v>
      </c>
      <c r="D2" s="385"/>
      <c r="E2" s="385"/>
      <c r="F2" s="385"/>
      <c r="G2" s="385"/>
      <c r="H2" s="385"/>
      <c r="I2" s="385"/>
      <c r="J2" s="299"/>
      <c r="L2" s="277"/>
    </row>
    <row r="3" spans="1:12" x14ac:dyDescent="0.35">
      <c r="A3" s="278"/>
      <c r="L3" s="277"/>
    </row>
    <row r="4" spans="1:12" ht="15" thickBot="1" x14ac:dyDescent="0.4">
      <c r="A4" s="278"/>
      <c r="L4" s="277"/>
    </row>
    <row r="5" spans="1:12" x14ac:dyDescent="0.35">
      <c r="A5" s="386" t="s">
        <v>93</v>
      </c>
      <c r="B5" s="369" t="s">
        <v>86</v>
      </c>
      <c r="C5" s="369"/>
      <c r="D5" s="369"/>
      <c r="E5" s="369"/>
      <c r="F5" s="369"/>
      <c r="G5" s="369"/>
      <c r="H5" s="369"/>
      <c r="I5" s="369"/>
      <c r="J5" s="369"/>
      <c r="K5" s="369"/>
      <c r="L5" s="370"/>
    </row>
    <row r="6" spans="1:12" x14ac:dyDescent="0.35">
      <c r="A6" s="374"/>
      <c r="B6" s="295"/>
      <c r="C6" s="280" t="s">
        <v>38</v>
      </c>
      <c r="D6" s="280" t="s">
        <v>39</v>
      </c>
      <c r="E6" s="280" t="s">
        <v>40</v>
      </c>
      <c r="F6" s="280" t="s">
        <v>41</v>
      </c>
      <c r="G6" s="280" t="s">
        <v>42</v>
      </c>
      <c r="H6" s="280" t="s">
        <v>43</v>
      </c>
      <c r="I6" s="280" t="s">
        <v>44</v>
      </c>
      <c r="J6" s="280" t="s">
        <v>45</v>
      </c>
      <c r="K6" s="280" t="s">
        <v>46</v>
      </c>
      <c r="L6" s="281" t="s">
        <v>47</v>
      </c>
    </row>
    <row r="7" spans="1:12" x14ac:dyDescent="0.35">
      <c r="A7" s="374"/>
      <c r="B7" s="302" t="s">
        <v>104</v>
      </c>
      <c r="C7" s="303">
        <f>100*A2/15*0.9</f>
        <v>0</v>
      </c>
      <c r="D7" s="303">
        <f>100*A2/15*0.8</f>
        <v>0</v>
      </c>
      <c r="E7" s="303">
        <f>100*A2/15*0.7</f>
        <v>0</v>
      </c>
      <c r="F7" s="303">
        <f>100*A2/15*0.6</f>
        <v>0</v>
      </c>
      <c r="G7" s="303">
        <f>100*A2/15*0.5</f>
        <v>0</v>
      </c>
      <c r="H7" s="303">
        <f>100*A2/15*0.4</f>
        <v>0</v>
      </c>
      <c r="I7" s="303">
        <f>100*A2/15*0.3</f>
        <v>0</v>
      </c>
      <c r="J7" s="303">
        <f>100*A2/15*0.2</f>
        <v>0</v>
      </c>
      <c r="K7" s="303">
        <f>100*A2/15*0.1</f>
        <v>0</v>
      </c>
      <c r="L7" s="304">
        <f>100*A2/15*0</f>
        <v>0</v>
      </c>
    </row>
    <row r="8" spans="1:12" x14ac:dyDescent="0.35">
      <c r="A8" s="374"/>
      <c r="B8" s="308" t="s">
        <v>103</v>
      </c>
      <c r="C8" s="286">
        <f>100*A2/28*0.1</f>
        <v>0</v>
      </c>
      <c r="D8" s="286">
        <f>100*A2/28*0.2</f>
        <v>0</v>
      </c>
      <c r="E8" s="286">
        <f>100*A2/28*0.3</f>
        <v>0</v>
      </c>
      <c r="F8" s="286">
        <f>100*A2/28*0.4</f>
        <v>0</v>
      </c>
      <c r="G8" s="286">
        <f>100*A2/28*0.5</f>
        <v>0</v>
      </c>
      <c r="H8" s="286">
        <f>100*A2/28*0.6</f>
        <v>0</v>
      </c>
      <c r="I8" s="286">
        <f>100*A2/28*0.7</f>
        <v>0</v>
      </c>
      <c r="J8" s="286">
        <f>100*A2/28*0.8</f>
        <v>0</v>
      </c>
      <c r="K8" s="286">
        <f>100*A2/28*0.9</f>
        <v>0</v>
      </c>
      <c r="L8" s="287">
        <f>100*A2/28*1</f>
        <v>0</v>
      </c>
    </row>
    <row r="9" spans="1:12" x14ac:dyDescent="0.35">
      <c r="A9" s="374"/>
      <c r="B9" s="331" t="s">
        <v>90</v>
      </c>
      <c r="C9" s="332">
        <f t="shared" ref="C9:L9" si="0">(C7*480/100)+(C8*385/100)</f>
        <v>0</v>
      </c>
      <c r="D9" s="332">
        <f t="shared" si="0"/>
        <v>0</v>
      </c>
      <c r="E9" s="332">
        <f t="shared" si="0"/>
        <v>0</v>
      </c>
      <c r="F9" s="332">
        <f t="shared" si="0"/>
        <v>0</v>
      </c>
      <c r="G9" s="332">
        <f t="shared" si="0"/>
        <v>0</v>
      </c>
      <c r="H9" s="332">
        <f t="shared" si="0"/>
        <v>0</v>
      </c>
      <c r="I9" s="332">
        <f t="shared" si="0"/>
        <v>0</v>
      </c>
      <c r="J9" s="332">
        <f t="shared" si="0"/>
        <v>0</v>
      </c>
      <c r="K9" s="332">
        <f t="shared" si="0"/>
        <v>0</v>
      </c>
      <c r="L9" s="333">
        <f t="shared" si="0"/>
        <v>0</v>
      </c>
    </row>
    <row r="10" spans="1:12" ht="15" thickBot="1" x14ac:dyDescent="0.4">
      <c r="A10" s="375"/>
      <c r="B10" s="293" t="s">
        <v>48</v>
      </c>
      <c r="C10" s="300">
        <f t="shared" ref="C10:L10" si="1">C8*11.2/100</f>
        <v>0</v>
      </c>
      <c r="D10" s="300">
        <f t="shared" si="1"/>
        <v>0</v>
      </c>
      <c r="E10" s="300">
        <f t="shared" si="1"/>
        <v>0</v>
      </c>
      <c r="F10" s="300">
        <f t="shared" si="1"/>
        <v>0</v>
      </c>
      <c r="G10" s="300">
        <f t="shared" si="1"/>
        <v>0</v>
      </c>
      <c r="H10" s="300">
        <f t="shared" si="1"/>
        <v>0</v>
      </c>
      <c r="I10" s="300">
        <f t="shared" si="1"/>
        <v>0</v>
      </c>
      <c r="J10" s="300">
        <f t="shared" si="1"/>
        <v>0</v>
      </c>
      <c r="K10" s="300">
        <f t="shared" si="1"/>
        <v>0</v>
      </c>
      <c r="L10" s="301">
        <f t="shared" si="1"/>
        <v>0</v>
      </c>
    </row>
    <row r="11" spans="1:12" x14ac:dyDescent="0.35">
      <c r="A11" s="278"/>
      <c r="B11" s="291"/>
      <c r="C11" s="292"/>
      <c r="D11" s="292"/>
      <c r="E11" s="292"/>
      <c r="F11" s="292"/>
      <c r="L11" s="277"/>
    </row>
    <row r="12" spans="1:12" ht="15" thickBot="1" x14ac:dyDescent="0.4">
      <c r="A12" s="278"/>
      <c r="L12" s="277"/>
    </row>
    <row r="13" spans="1:12" x14ac:dyDescent="0.35">
      <c r="A13" s="377" t="s">
        <v>94</v>
      </c>
      <c r="B13" s="369" t="s">
        <v>49</v>
      </c>
      <c r="C13" s="369"/>
      <c r="D13" s="369"/>
      <c r="E13" s="369"/>
      <c r="F13" s="369"/>
      <c r="G13" s="369"/>
      <c r="H13" s="369"/>
      <c r="I13" s="370"/>
      <c r="L13" s="277"/>
    </row>
    <row r="14" spans="1:12" x14ac:dyDescent="0.35">
      <c r="A14" s="378"/>
      <c r="B14" s="295"/>
      <c r="C14" s="280" t="s">
        <v>38</v>
      </c>
      <c r="D14" s="280" t="s">
        <v>39</v>
      </c>
      <c r="E14" s="280" t="s">
        <v>40</v>
      </c>
      <c r="F14" s="280" t="s">
        <v>41</v>
      </c>
      <c r="G14" s="280" t="s">
        <v>42</v>
      </c>
      <c r="H14" s="280" t="s">
        <v>43</v>
      </c>
      <c r="I14" s="281" t="s">
        <v>44</v>
      </c>
      <c r="L14" s="277"/>
    </row>
    <row r="15" spans="1:12" x14ac:dyDescent="0.35">
      <c r="A15" s="378"/>
      <c r="B15" s="302" t="s">
        <v>104</v>
      </c>
      <c r="C15" s="303">
        <f>100*A2/15*0.857</f>
        <v>0</v>
      </c>
      <c r="D15" s="303">
        <f>100*A2/15*0.714</f>
        <v>0</v>
      </c>
      <c r="E15" s="303">
        <f>100*A2/15*0.571</f>
        <v>0</v>
      </c>
      <c r="F15" s="303">
        <f>100*A2/15*0.429</f>
        <v>0</v>
      </c>
      <c r="G15" s="303">
        <f>100*A2/15*0.286</f>
        <v>0</v>
      </c>
      <c r="H15" s="303">
        <f>100*A2/15*0.143</f>
        <v>0</v>
      </c>
      <c r="I15" s="304">
        <f>100*A2/15*0</f>
        <v>0</v>
      </c>
      <c r="L15" s="277"/>
    </row>
    <row r="16" spans="1:12" x14ac:dyDescent="0.35">
      <c r="A16" s="378"/>
      <c r="B16" s="308" t="s">
        <v>103</v>
      </c>
      <c r="C16" s="286">
        <f>100*A2/28*0.143</f>
        <v>0</v>
      </c>
      <c r="D16" s="286">
        <f>100*A2/28*0.286</f>
        <v>0</v>
      </c>
      <c r="E16" s="286">
        <f>100*A2/28*0.429</f>
        <v>0</v>
      </c>
      <c r="F16" s="286">
        <f>100*A2/28*0.571</f>
        <v>0</v>
      </c>
      <c r="G16" s="286">
        <f>100*A2/28*0.714</f>
        <v>0</v>
      </c>
      <c r="H16" s="286">
        <f>100*A2/28*0.857</f>
        <v>0</v>
      </c>
      <c r="I16" s="287">
        <f>100*A2/28*1</f>
        <v>0</v>
      </c>
      <c r="L16" s="277"/>
    </row>
    <row r="17" spans="1:12" x14ac:dyDescent="0.35">
      <c r="A17" s="378"/>
      <c r="B17" s="331" t="s">
        <v>90</v>
      </c>
      <c r="C17" s="332">
        <f t="shared" ref="C17:I17" si="2">(C15*480/100)+(C16*385/100)</f>
        <v>0</v>
      </c>
      <c r="D17" s="332">
        <f t="shared" si="2"/>
        <v>0</v>
      </c>
      <c r="E17" s="332">
        <f t="shared" si="2"/>
        <v>0</v>
      </c>
      <c r="F17" s="332">
        <f t="shared" si="2"/>
        <v>0</v>
      </c>
      <c r="G17" s="332">
        <f t="shared" si="2"/>
        <v>0</v>
      </c>
      <c r="H17" s="332">
        <f t="shared" si="2"/>
        <v>0</v>
      </c>
      <c r="I17" s="334">
        <f t="shared" si="2"/>
        <v>0</v>
      </c>
      <c r="L17" s="277"/>
    </row>
    <row r="18" spans="1:12" ht="15" thickBot="1" x14ac:dyDescent="0.4">
      <c r="A18" s="379"/>
      <c r="B18" s="293" t="s">
        <v>48</v>
      </c>
      <c r="C18" s="300">
        <f t="shared" ref="C18:I18" si="3">C16*11.2/100</f>
        <v>0</v>
      </c>
      <c r="D18" s="300">
        <f t="shared" si="3"/>
        <v>0</v>
      </c>
      <c r="E18" s="300">
        <f t="shared" si="3"/>
        <v>0</v>
      </c>
      <c r="F18" s="300">
        <f t="shared" si="3"/>
        <v>0</v>
      </c>
      <c r="G18" s="300">
        <f t="shared" si="3"/>
        <v>0</v>
      </c>
      <c r="H18" s="300">
        <f t="shared" si="3"/>
        <v>0</v>
      </c>
      <c r="I18" s="301">
        <f t="shared" si="3"/>
        <v>0</v>
      </c>
      <c r="J18" s="291" t="s">
        <v>1</v>
      </c>
      <c r="L18" s="277"/>
    </row>
    <row r="19" spans="1:12" x14ac:dyDescent="0.35">
      <c r="A19" s="278"/>
      <c r="B19" s="291"/>
      <c r="C19" s="294"/>
      <c r="D19" s="294"/>
      <c r="E19" s="294"/>
      <c r="F19" s="294"/>
      <c r="G19" s="294"/>
      <c r="H19" s="294"/>
      <c r="I19" s="294"/>
      <c r="L19" s="277"/>
    </row>
    <row r="20" spans="1:12" ht="15" thickBot="1" x14ac:dyDescent="0.4">
      <c r="A20" s="278"/>
      <c r="L20" s="277"/>
    </row>
    <row r="21" spans="1:12" x14ac:dyDescent="0.35">
      <c r="A21" s="366" t="s">
        <v>88</v>
      </c>
      <c r="B21" s="369" t="s">
        <v>50</v>
      </c>
      <c r="C21" s="369"/>
      <c r="D21" s="369"/>
      <c r="E21" s="369"/>
      <c r="F21" s="370"/>
      <c r="L21" s="277"/>
    </row>
    <row r="22" spans="1:12" x14ac:dyDescent="0.35">
      <c r="A22" s="367"/>
      <c r="B22" s="295"/>
      <c r="C22" s="280" t="s">
        <v>38</v>
      </c>
      <c r="D22" s="280" t="s">
        <v>39</v>
      </c>
      <c r="E22" s="280" t="s">
        <v>40</v>
      </c>
      <c r="F22" s="281" t="s">
        <v>41</v>
      </c>
      <c r="L22" s="277"/>
    </row>
    <row r="23" spans="1:12" x14ac:dyDescent="0.35">
      <c r="A23" s="367"/>
      <c r="B23" s="302" t="s">
        <v>104</v>
      </c>
      <c r="C23" s="303">
        <f>100*A2/15*0.75</f>
        <v>0</v>
      </c>
      <c r="D23" s="303">
        <f>100*A2/15*0.5</f>
        <v>0</v>
      </c>
      <c r="E23" s="303">
        <f>100*A2/15*0.25</f>
        <v>0</v>
      </c>
      <c r="F23" s="304">
        <f>100/15*A2*0</f>
        <v>0</v>
      </c>
      <c r="L23" s="277"/>
    </row>
    <row r="24" spans="1:12" x14ac:dyDescent="0.35">
      <c r="A24" s="367"/>
      <c r="B24" s="308" t="s">
        <v>103</v>
      </c>
      <c r="C24" s="286">
        <f>100*A2/28*0.25</f>
        <v>0</v>
      </c>
      <c r="D24" s="286">
        <f>100*A2/28*0.5</f>
        <v>0</v>
      </c>
      <c r="E24" s="286">
        <f>100*A2/28*0.75</f>
        <v>0</v>
      </c>
      <c r="F24" s="287">
        <f>100*A2/28*1</f>
        <v>0</v>
      </c>
      <c r="L24" s="277"/>
    </row>
    <row r="25" spans="1:12" x14ac:dyDescent="0.35">
      <c r="A25" s="367"/>
      <c r="B25" s="331" t="s">
        <v>90</v>
      </c>
      <c r="C25" s="332">
        <f>(C23*480/100)+(C24*385/100)</f>
        <v>0</v>
      </c>
      <c r="D25" s="332">
        <f>(D23*480/100)+(D24*385/100)</f>
        <v>0</v>
      </c>
      <c r="E25" s="332">
        <f>(E23*480/100)+(E24*385/100)</f>
        <v>0</v>
      </c>
      <c r="F25" s="334">
        <f>(F23*480/100)+(F24*385/100)</f>
        <v>0</v>
      </c>
      <c r="L25" s="277"/>
    </row>
    <row r="26" spans="1:12" ht="15" thickBot="1" x14ac:dyDescent="0.4">
      <c r="A26" s="368"/>
      <c r="B26" s="293" t="s">
        <v>48</v>
      </c>
      <c r="C26" s="300">
        <f>C24*11.2/100</f>
        <v>0</v>
      </c>
      <c r="D26" s="300">
        <f>D24*11.2/100</f>
        <v>0</v>
      </c>
      <c r="E26" s="300">
        <f>E24*11.2/100</f>
        <v>0</v>
      </c>
      <c r="F26" s="301">
        <f>F24*11.2/100</f>
        <v>0</v>
      </c>
      <c r="L26" s="277"/>
    </row>
    <row r="27" spans="1:12" x14ac:dyDescent="0.35">
      <c r="A27" s="278"/>
      <c r="L27" s="277"/>
    </row>
    <row r="28" spans="1:12" ht="15" thickBot="1" x14ac:dyDescent="0.4">
      <c r="A28" s="296"/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6"/>
    </row>
    <row r="30" spans="1:12" x14ac:dyDescent="0.35">
      <c r="A30" t="s">
        <v>108</v>
      </c>
    </row>
    <row r="31" spans="1:12" ht="8.25" customHeight="1" x14ac:dyDescent="0.35">
      <c r="B31" s="384"/>
      <c r="C31" s="384"/>
      <c r="D31" s="384"/>
      <c r="E31" s="384"/>
      <c r="F31" s="384"/>
      <c r="G31" s="384"/>
      <c r="H31" s="384"/>
    </row>
    <row r="32" spans="1:12" x14ac:dyDescent="0.35">
      <c r="A32" s="262" t="s">
        <v>111</v>
      </c>
    </row>
    <row r="33" spans="1:1" x14ac:dyDescent="0.35">
      <c r="A33" s="297" t="s">
        <v>106</v>
      </c>
    </row>
  </sheetData>
  <sheetProtection algorithmName="SHA-512" hashValue="fH3jzor6ik2ZpdKsmbh/1ZcGoKl6NDvZy1TKUIiMg/DMNn+xtk9+N7AXLw1QhRT3Rtwoc5g6SvN5iJBbJU/bMQ==" saltValue="Ev+alWaz0Pj9UHxntbt89A==" spinCount="100000" sheet="1" objects="1" scenarios="1"/>
  <mergeCells count="9">
    <mergeCell ref="A21:A26"/>
    <mergeCell ref="B21:F21"/>
    <mergeCell ref="B31:H31"/>
    <mergeCell ref="A1:B1"/>
    <mergeCell ref="D1:I2"/>
    <mergeCell ref="A5:A10"/>
    <mergeCell ref="B5:L5"/>
    <mergeCell ref="A13:A18"/>
    <mergeCell ref="B13:I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AE8CA-F4D4-489D-88FB-99C87B7F55C9}">
  <sheetPr>
    <tabColor theme="8" tint="-0.499984740745262"/>
  </sheetPr>
  <dimension ref="A1:L33"/>
  <sheetViews>
    <sheetView showGridLines="0" zoomScale="80" zoomScaleNormal="80" workbookViewId="0">
      <selection activeCell="A2" sqref="A2"/>
    </sheetView>
  </sheetViews>
  <sheetFormatPr defaultColWidth="9.1796875" defaultRowHeight="14.5" x14ac:dyDescent="0.35"/>
  <cols>
    <col min="1" max="1" width="20.26953125" customWidth="1"/>
    <col min="2" max="2" width="21.453125" customWidth="1"/>
    <col min="13" max="13" width="4.26953125" customWidth="1"/>
  </cols>
  <sheetData>
    <row r="1" spans="1:12" ht="45" customHeight="1" x14ac:dyDescent="0.35">
      <c r="A1" s="371" t="s">
        <v>92</v>
      </c>
      <c r="B1" s="372"/>
      <c r="C1" s="275"/>
      <c r="D1" s="381" t="s">
        <v>113</v>
      </c>
      <c r="E1" s="381"/>
      <c r="F1" s="381"/>
      <c r="G1" s="381"/>
      <c r="H1" s="381"/>
      <c r="I1" s="381"/>
      <c r="J1" s="381"/>
      <c r="K1" s="275"/>
      <c r="L1" s="276"/>
    </row>
    <row r="2" spans="1:12" ht="45" customHeight="1" thickBot="1" x14ac:dyDescent="0.4">
      <c r="A2" s="1">
        <v>0</v>
      </c>
      <c r="D2" s="385"/>
      <c r="E2" s="385"/>
      <c r="F2" s="385"/>
      <c r="G2" s="385"/>
      <c r="H2" s="385"/>
      <c r="I2" s="385"/>
      <c r="J2" s="385"/>
      <c r="L2" s="277"/>
    </row>
    <row r="3" spans="1:12" x14ac:dyDescent="0.35">
      <c r="A3" s="278"/>
      <c r="L3" s="277"/>
    </row>
    <row r="4" spans="1:12" ht="15" thickBot="1" x14ac:dyDescent="0.4">
      <c r="A4" s="278"/>
      <c r="L4" s="277"/>
    </row>
    <row r="5" spans="1:12" x14ac:dyDescent="0.35">
      <c r="A5" s="386" t="s">
        <v>93</v>
      </c>
      <c r="B5" s="369" t="s">
        <v>86</v>
      </c>
      <c r="C5" s="369"/>
      <c r="D5" s="369"/>
      <c r="E5" s="369"/>
      <c r="F5" s="369"/>
      <c r="G5" s="369"/>
      <c r="H5" s="369"/>
      <c r="I5" s="369"/>
      <c r="J5" s="369"/>
      <c r="K5" s="369"/>
      <c r="L5" s="370"/>
    </row>
    <row r="6" spans="1:12" x14ac:dyDescent="0.35">
      <c r="A6" s="374"/>
      <c r="B6" s="295"/>
      <c r="C6" s="280" t="s">
        <v>38</v>
      </c>
      <c r="D6" s="280" t="s">
        <v>39</v>
      </c>
      <c r="E6" s="280" t="s">
        <v>40</v>
      </c>
      <c r="F6" s="280" t="s">
        <v>41</v>
      </c>
      <c r="G6" s="280" t="s">
        <v>42</v>
      </c>
      <c r="H6" s="280" t="s">
        <v>43</v>
      </c>
      <c r="I6" s="280" t="s">
        <v>44</v>
      </c>
      <c r="J6" s="280" t="s">
        <v>45</v>
      </c>
      <c r="K6" s="280" t="s">
        <v>46</v>
      </c>
      <c r="L6" s="281" t="s">
        <v>47</v>
      </c>
    </row>
    <row r="7" spans="1:12" x14ac:dyDescent="0.35">
      <c r="A7" s="374"/>
      <c r="B7" s="302" t="s">
        <v>105</v>
      </c>
      <c r="C7" s="303">
        <f>100*A2/16.2*0.9</f>
        <v>0</v>
      </c>
      <c r="D7" s="303">
        <f>100*A2/16.2*0.8</f>
        <v>0</v>
      </c>
      <c r="E7" s="303">
        <f>100*A2/16.2*0.7</f>
        <v>0</v>
      </c>
      <c r="F7" s="303">
        <f>100*A2/16.2*0.6</f>
        <v>0</v>
      </c>
      <c r="G7" s="303">
        <f>100*A2/16.2*0.5</f>
        <v>0</v>
      </c>
      <c r="H7" s="303">
        <f>100*A2/16.2*0.4</f>
        <v>0</v>
      </c>
      <c r="I7" s="303">
        <f>100*A2/16.2*0.3</f>
        <v>0</v>
      </c>
      <c r="J7" s="303">
        <f>100*A2/16.2*0.2</f>
        <v>0</v>
      </c>
      <c r="K7" s="303">
        <f>100*A2/16.2*0.1</f>
        <v>0</v>
      </c>
      <c r="L7" s="304">
        <f>100*A2/16.2*0</f>
        <v>0</v>
      </c>
    </row>
    <row r="8" spans="1:12" x14ac:dyDescent="0.35">
      <c r="A8" s="374"/>
      <c r="B8" s="305" t="s">
        <v>102</v>
      </c>
      <c r="C8" s="306">
        <f>100*A2/13.5*0.1</f>
        <v>0</v>
      </c>
      <c r="D8" s="306">
        <f>100*A2/13.5*0.2</f>
        <v>0</v>
      </c>
      <c r="E8" s="306">
        <f>100*A2/13.5*0.3</f>
        <v>0</v>
      </c>
      <c r="F8" s="306">
        <f>100*A2/13.5*0.4</f>
        <v>0</v>
      </c>
      <c r="G8" s="306">
        <f>100*A2/13.5*0.5</f>
        <v>0</v>
      </c>
      <c r="H8" s="306">
        <f>100*A2/13.5*0.6</f>
        <v>0</v>
      </c>
      <c r="I8" s="306">
        <f>100*A2/13.5*0.7</f>
        <v>0</v>
      </c>
      <c r="J8" s="306">
        <f>100*A2/13.5*0.8</f>
        <v>0</v>
      </c>
      <c r="K8" s="306">
        <f>100*A2/13.5*0.9</f>
        <v>0</v>
      </c>
      <c r="L8" s="307">
        <f>100*A2/13.5*1</f>
        <v>0</v>
      </c>
    </row>
    <row r="9" spans="1:12" x14ac:dyDescent="0.35">
      <c r="A9" s="374"/>
      <c r="B9" s="331" t="s">
        <v>90</v>
      </c>
      <c r="C9" s="332">
        <f t="shared" ref="C9:L9" si="0">(C7*500/100)+(C8*473/100)</f>
        <v>0</v>
      </c>
      <c r="D9" s="332">
        <f t="shared" si="0"/>
        <v>0</v>
      </c>
      <c r="E9" s="332">
        <f t="shared" si="0"/>
        <v>0</v>
      </c>
      <c r="F9" s="332">
        <f t="shared" si="0"/>
        <v>0</v>
      </c>
      <c r="G9" s="332">
        <f t="shared" si="0"/>
        <v>0</v>
      </c>
      <c r="H9" s="332">
        <f t="shared" si="0"/>
        <v>0</v>
      </c>
      <c r="I9" s="332">
        <f t="shared" si="0"/>
        <v>0</v>
      </c>
      <c r="J9" s="332">
        <f t="shared" si="0"/>
        <v>0</v>
      </c>
      <c r="K9" s="332">
        <f t="shared" si="0"/>
        <v>0</v>
      </c>
      <c r="L9" s="333">
        <f t="shared" si="0"/>
        <v>0</v>
      </c>
    </row>
    <row r="10" spans="1:12" ht="15" thickBot="1" x14ac:dyDescent="0.4">
      <c r="A10" s="375"/>
      <c r="B10" s="293" t="s">
        <v>48</v>
      </c>
      <c r="C10" s="300">
        <f t="shared" ref="C10:L10" si="1">C8*5.3/100</f>
        <v>0</v>
      </c>
      <c r="D10" s="300">
        <f t="shared" si="1"/>
        <v>0</v>
      </c>
      <c r="E10" s="300">
        <f t="shared" si="1"/>
        <v>0</v>
      </c>
      <c r="F10" s="300">
        <f t="shared" si="1"/>
        <v>0</v>
      </c>
      <c r="G10" s="300">
        <f t="shared" si="1"/>
        <v>0</v>
      </c>
      <c r="H10" s="300">
        <f t="shared" si="1"/>
        <v>0</v>
      </c>
      <c r="I10" s="300">
        <f t="shared" si="1"/>
        <v>0</v>
      </c>
      <c r="J10" s="300">
        <f t="shared" si="1"/>
        <v>0</v>
      </c>
      <c r="K10" s="300">
        <f t="shared" si="1"/>
        <v>0</v>
      </c>
      <c r="L10" s="301">
        <f t="shared" si="1"/>
        <v>0</v>
      </c>
    </row>
    <row r="11" spans="1:12" x14ac:dyDescent="0.35">
      <c r="A11" s="278"/>
      <c r="B11" s="291"/>
      <c r="C11" s="292"/>
      <c r="D11" s="292"/>
      <c r="E11" s="292"/>
      <c r="F11" s="292"/>
      <c r="L11" s="277"/>
    </row>
    <row r="12" spans="1:12" ht="15" thickBot="1" x14ac:dyDescent="0.4">
      <c r="A12" s="278"/>
      <c r="L12" s="277"/>
    </row>
    <row r="13" spans="1:12" x14ac:dyDescent="0.35">
      <c r="A13" s="377" t="s">
        <v>94</v>
      </c>
      <c r="B13" s="369" t="s">
        <v>49</v>
      </c>
      <c r="C13" s="369"/>
      <c r="D13" s="369"/>
      <c r="E13" s="369"/>
      <c r="F13" s="369"/>
      <c r="G13" s="369"/>
      <c r="H13" s="369"/>
      <c r="I13" s="370"/>
      <c r="L13" s="277"/>
    </row>
    <row r="14" spans="1:12" x14ac:dyDescent="0.35">
      <c r="A14" s="378"/>
      <c r="B14" s="295"/>
      <c r="C14" s="280" t="s">
        <v>38</v>
      </c>
      <c r="D14" s="280" t="s">
        <v>39</v>
      </c>
      <c r="E14" s="280" t="s">
        <v>40</v>
      </c>
      <c r="F14" s="280" t="s">
        <v>41</v>
      </c>
      <c r="G14" s="280" t="s">
        <v>42</v>
      </c>
      <c r="H14" s="280" t="s">
        <v>43</v>
      </c>
      <c r="I14" s="281" t="s">
        <v>44</v>
      </c>
      <c r="L14" s="277"/>
    </row>
    <row r="15" spans="1:12" x14ac:dyDescent="0.35">
      <c r="A15" s="378"/>
      <c r="B15" s="302" t="s">
        <v>105</v>
      </c>
      <c r="C15" s="303">
        <f>100*A2/16.2*0.857</f>
        <v>0</v>
      </c>
      <c r="D15" s="303">
        <f>100*A2/16.2*0.714</f>
        <v>0</v>
      </c>
      <c r="E15" s="303">
        <f>100*A2/16.2*0.571</f>
        <v>0</v>
      </c>
      <c r="F15" s="303">
        <f>100*A2/16.2*0.429</f>
        <v>0</v>
      </c>
      <c r="G15" s="303">
        <f>100*A2/16.2*0.286</f>
        <v>0</v>
      </c>
      <c r="H15" s="303">
        <f>100*A2/16.2*0.143</f>
        <v>0</v>
      </c>
      <c r="I15" s="304">
        <f>100*A2/16.2*0</f>
        <v>0</v>
      </c>
      <c r="L15" s="277"/>
    </row>
    <row r="16" spans="1:12" x14ac:dyDescent="0.35">
      <c r="A16" s="378"/>
      <c r="B16" s="305" t="s">
        <v>102</v>
      </c>
      <c r="C16" s="306">
        <f>100*A2/13.5*0.143</f>
        <v>0</v>
      </c>
      <c r="D16" s="306">
        <f>100*A2/13.5*0.286</f>
        <v>0</v>
      </c>
      <c r="E16" s="306">
        <f>100*A2/13.5*0.429</f>
        <v>0</v>
      </c>
      <c r="F16" s="306">
        <f>100*A2/13.5*0.571</f>
        <v>0</v>
      </c>
      <c r="G16" s="306">
        <f>100*A2/13.5*0.714</f>
        <v>0</v>
      </c>
      <c r="H16" s="306">
        <f>100*A2/13.5*0.857</f>
        <v>0</v>
      </c>
      <c r="I16" s="307">
        <f>100*A2/13.5*1</f>
        <v>0</v>
      </c>
      <c r="L16" s="277"/>
    </row>
    <row r="17" spans="1:12" x14ac:dyDescent="0.35">
      <c r="A17" s="378"/>
      <c r="B17" s="331" t="s">
        <v>90</v>
      </c>
      <c r="C17" s="332">
        <f t="shared" ref="C17:I17" si="2">(C15*500/100)+(C16*473/100)</f>
        <v>0</v>
      </c>
      <c r="D17" s="332">
        <f t="shared" si="2"/>
        <v>0</v>
      </c>
      <c r="E17" s="332">
        <f t="shared" si="2"/>
        <v>0</v>
      </c>
      <c r="F17" s="332">
        <f t="shared" si="2"/>
        <v>0</v>
      </c>
      <c r="G17" s="332">
        <f t="shared" si="2"/>
        <v>0</v>
      </c>
      <c r="H17" s="332">
        <f t="shared" si="2"/>
        <v>0</v>
      </c>
      <c r="I17" s="335">
        <f t="shared" si="2"/>
        <v>0</v>
      </c>
      <c r="J17" s="278"/>
      <c r="L17" s="277"/>
    </row>
    <row r="18" spans="1:12" ht="15" thickBot="1" x14ac:dyDescent="0.4">
      <c r="A18" s="379"/>
      <c r="B18" s="293" t="s">
        <v>48</v>
      </c>
      <c r="C18" s="300">
        <f t="shared" ref="C18:I18" si="3">C16*5.3/100</f>
        <v>0</v>
      </c>
      <c r="D18" s="300">
        <f t="shared" si="3"/>
        <v>0</v>
      </c>
      <c r="E18" s="300">
        <f t="shared" si="3"/>
        <v>0</v>
      </c>
      <c r="F18" s="300">
        <f t="shared" si="3"/>
        <v>0</v>
      </c>
      <c r="G18" s="300">
        <f t="shared" si="3"/>
        <v>0</v>
      </c>
      <c r="H18" s="300">
        <f t="shared" si="3"/>
        <v>0</v>
      </c>
      <c r="I18" s="301">
        <f t="shared" si="3"/>
        <v>0</v>
      </c>
      <c r="J18" s="291" t="s">
        <v>1</v>
      </c>
      <c r="L18" s="277"/>
    </row>
    <row r="19" spans="1:12" x14ac:dyDescent="0.35">
      <c r="A19" s="278"/>
      <c r="B19" s="291"/>
      <c r="C19" s="294"/>
      <c r="D19" s="294"/>
      <c r="E19" s="294"/>
      <c r="F19" s="294"/>
      <c r="G19" s="294"/>
      <c r="H19" s="294"/>
      <c r="I19" s="294"/>
      <c r="L19" s="277"/>
    </row>
    <row r="20" spans="1:12" ht="15" thickBot="1" x14ac:dyDescent="0.4">
      <c r="A20" s="278"/>
      <c r="L20" s="277"/>
    </row>
    <row r="21" spans="1:12" x14ac:dyDescent="0.35">
      <c r="A21" s="366" t="s">
        <v>88</v>
      </c>
      <c r="B21" s="369" t="s">
        <v>50</v>
      </c>
      <c r="C21" s="369"/>
      <c r="D21" s="369"/>
      <c r="E21" s="369"/>
      <c r="F21" s="370"/>
      <c r="L21" s="277"/>
    </row>
    <row r="22" spans="1:12" x14ac:dyDescent="0.35">
      <c r="A22" s="367"/>
      <c r="B22" s="295"/>
      <c r="C22" s="280" t="s">
        <v>38</v>
      </c>
      <c r="D22" s="280" t="s">
        <v>39</v>
      </c>
      <c r="E22" s="280" t="s">
        <v>40</v>
      </c>
      <c r="F22" s="281" t="s">
        <v>41</v>
      </c>
      <c r="L22" s="277"/>
    </row>
    <row r="23" spans="1:12" x14ac:dyDescent="0.35">
      <c r="A23" s="367"/>
      <c r="B23" s="302" t="s">
        <v>105</v>
      </c>
      <c r="C23" s="303">
        <f>100*A2/16.2*0.75</f>
        <v>0</v>
      </c>
      <c r="D23" s="303">
        <f>100*A2/16.2*0.5</f>
        <v>0</v>
      </c>
      <c r="E23" s="303">
        <f>100*A2/16.2*0.25</f>
        <v>0</v>
      </c>
      <c r="F23" s="304">
        <f>100/16.2*A2*0</f>
        <v>0</v>
      </c>
      <c r="L23" s="277"/>
    </row>
    <row r="24" spans="1:12" x14ac:dyDescent="0.35">
      <c r="A24" s="367"/>
      <c r="B24" s="305" t="s">
        <v>102</v>
      </c>
      <c r="C24" s="306">
        <f>100*A2/13.5*0.25</f>
        <v>0</v>
      </c>
      <c r="D24" s="306">
        <f>100*A2/13.5*0.5</f>
        <v>0</v>
      </c>
      <c r="E24" s="306">
        <f>100*A2/13.5*0.75</f>
        <v>0</v>
      </c>
      <c r="F24" s="307">
        <f>100*A2/13.5*1</f>
        <v>0</v>
      </c>
      <c r="L24" s="277"/>
    </row>
    <row r="25" spans="1:12" x14ac:dyDescent="0.35">
      <c r="A25" s="367"/>
      <c r="B25" s="331" t="s">
        <v>90</v>
      </c>
      <c r="C25" s="332">
        <f>(C23*500/100)+(C24*473/100)</f>
        <v>0</v>
      </c>
      <c r="D25" s="332">
        <f>(D23*500/100)+(D24*473/100)</f>
        <v>0</v>
      </c>
      <c r="E25" s="332">
        <f>(E23*500/100)+(E24*473/100)</f>
        <v>0</v>
      </c>
      <c r="F25" s="334">
        <f>(F23*500/100)+(F24*473/100)</f>
        <v>0</v>
      </c>
      <c r="L25" s="277"/>
    </row>
    <row r="26" spans="1:12" ht="15" thickBot="1" x14ac:dyDescent="0.4">
      <c r="A26" s="368"/>
      <c r="B26" s="293" t="s">
        <v>48</v>
      </c>
      <c r="C26" s="300">
        <f>C24*5.3/100</f>
        <v>0</v>
      </c>
      <c r="D26" s="300">
        <f>D24*5.3/100</f>
        <v>0</v>
      </c>
      <c r="E26" s="300">
        <f>E24*5.3/100</f>
        <v>0</v>
      </c>
      <c r="F26" s="301">
        <f>F24*5.3/100</f>
        <v>0</v>
      </c>
      <c r="L26" s="277"/>
    </row>
    <row r="27" spans="1:12" x14ac:dyDescent="0.35">
      <c r="A27" s="278"/>
      <c r="L27" s="277"/>
    </row>
    <row r="28" spans="1:12" ht="15" thickBot="1" x14ac:dyDescent="0.4">
      <c r="A28" s="296"/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6"/>
    </row>
    <row r="29" spans="1:12" x14ac:dyDescent="0.35">
      <c r="A29" s="327"/>
      <c r="B29" s="327"/>
      <c r="C29" s="327"/>
      <c r="D29" s="327"/>
      <c r="E29" s="327"/>
      <c r="F29" s="327"/>
      <c r="G29" s="327"/>
      <c r="H29" s="327"/>
      <c r="I29" s="327"/>
      <c r="J29" s="327"/>
      <c r="K29" s="327"/>
      <c r="L29" s="327"/>
    </row>
    <row r="30" spans="1:12" x14ac:dyDescent="0.35">
      <c r="A30" t="s">
        <v>107</v>
      </c>
    </row>
    <row r="31" spans="1:12" x14ac:dyDescent="0.35">
      <c r="B31" s="384"/>
      <c r="C31" s="384"/>
      <c r="D31" s="384"/>
      <c r="E31" s="384"/>
      <c r="F31" s="384"/>
      <c r="G31" s="384"/>
      <c r="H31" s="384"/>
    </row>
    <row r="32" spans="1:12" x14ac:dyDescent="0.35">
      <c r="A32" s="262" t="s">
        <v>110</v>
      </c>
    </row>
    <row r="33" spans="1:1" x14ac:dyDescent="0.35">
      <c r="A33" s="297" t="s">
        <v>106</v>
      </c>
    </row>
  </sheetData>
  <sheetProtection algorithmName="SHA-512" hashValue="h+b1OBqZGAAEMIy9eycNkOeX/p6QfPt4W3oQ7IiRlksmuj7BDl3mphUCa1bi9q1UtUdP+1hhxbSmcGp9mgM6oQ==" saltValue="vwFoYvptM7Ewjmm5YPM9Bw==" spinCount="100000" sheet="1" objects="1" scenarios="1"/>
  <mergeCells count="9">
    <mergeCell ref="A21:A26"/>
    <mergeCell ref="B21:F21"/>
    <mergeCell ref="B31:H31"/>
    <mergeCell ref="D1:J2"/>
    <mergeCell ref="A1:B1"/>
    <mergeCell ref="A5:A10"/>
    <mergeCell ref="B5:L5"/>
    <mergeCell ref="A13:A18"/>
    <mergeCell ref="B13:I1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63936-7B93-4574-A2E7-7DB575CE7D65}">
  <sheetPr>
    <tabColor theme="8" tint="-0.249977111117893"/>
  </sheetPr>
  <dimension ref="A1:L34"/>
  <sheetViews>
    <sheetView showGridLines="0" zoomScale="80" zoomScaleNormal="80" workbookViewId="0">
      <selection activeCell="A3" sqref="A3"/>
    </sheetView>
  </sheetViews>
  <sheetFormatPr defaultColWidth="9.1796875" defaultRowHeight="14.5" x14ac:dyDescent="0.35"/>
  <cols>
    <col min="1" max="1" width="20.26953125" customWidth="1"/>
    <col min="2" max="2" width="21.453125" customWidth="1"/>
    <col min="13" max="13" width="4.26953125" customWidth="1"/>
  </cols>
  <sheetData>
    <row r="1" spans="1:12" ht="45" customHeight="1" x14ac:dyDescent="0.35">
      <c r="A1" s="371" t="s">
        <v>92</v>
      </c>
      <c r="B1" s="372"/>
      <c r="C1" s="275"/>
      <c r="D1" s="381" t="s">
        <v>114</v>
      </c>
      <c r="E1" s="381"/>
      <c r="F1" s="381"/>
      <c r="G1" s="381"/>
      <c r="H1" s="381"/>
      <c r="I1" s="381"/>
      <c r="J1" s="381"/>
      <c r="K1" s="275"/>
      <c r="L1" s="276"/>
    </row>
    <row r="2" spans="1:12" ht="45" customHeight="1" thickBot="1" x14ac:dyDescent="0.4">
      <c r="A2" s="1">
        <v>0</v>
      </c>
      <c r="D2" s="385"/>
      <c r="E2" s="385"/>
      <c r="F2" s="385"/>
      <c r="G2" s="385"/>
      <c r="H2" s="385"/>
      <c r="I2" s="385"/>
      <c r="J2" s="385"/>
      <c r="L2" s="277"/>
    </row>
    <row r="3" spans="1:12" x14ac:dyDescent="0.35">
      <c r="A3" s="278"/>
      <c r="L3" s="277"/>
    </row>
    <row r="4" spans="1:12" ht="15" thickBot="1" x14ac:dyDescent="0.4">
      <c r="A4" s="278"/>
      <c r="L4" s="277"/>
    </row>
    <row r="5" spans="1:12" x14ac:dyDescent="0.35">
      <c r="A5" s="386" t="s">
        <v>93</v>
      </c>
      <c r="B5" s="369" t="s">
        <v>86</v>
      </c>
      <c r="C5" s="369"/>
      <c r="D5" s="369"/>
      <c r="E5" s="369"/>
      <c r="F5" s="369"/>
      <c r="G5" s="369"/>
      <c r="H5" s="369"/>
      <c r="I5" s="369"/>
      <c r="J5" s="369"/>
      <c r="K5" s="369"/>
      <c r="L5" s="370"/>
    </row>
    <row r="6" spans="1:12" x14ac:dyDescent="0.35">
      <c r="A6" s="374"/>
      <c r="B6" s="295"/>
      <c r="C6" s="280" t="s">
        <v>38</v>
      </c>
      <c r="D6" s="280" t="s">
        <v>39</v>
      </c>
      <c r="E6" s="280" t="s">
        <v>40</v>
      </c>
      <c r="F6" s="280" t="s">
        <v>41</v>
      </c>
      <c r="G6" s="280" t="s">
        <v>42</v>
      </c>
      <c r="H6" s="280" t="s">
        <v>43</v>
      </c>
      <c r="I6" s="280" t="s">
        <v>44</v>
      </c>
      <c r="J6" s="280" t="s">
        <v>45</v>
      </c>
      <c r="K6" s="280" t="s">
        <v>46</v>
      </c>
      <c r="L6" s="281" t="s">
        <v>47</v>
      </c>
    </row>
    <row r="7" spans="1:12" x14ac:dyDescent="0.35">
      <c r="A7" s="374"/>
      <c r="B7" s="302" t="s">
        <v>105</v>
      </c>
      <c r="C7" s="303">
        <f>100*A2/16.2*0.9</f>
        <v>0</v>
      </c>
      <c r="D7" s="303">
        <f>100*A2/16.2*0.8</f>
        <v>0</v>
      </c>
      <c r="E7" s="303">
        <f>100*A2/16.2*0.7</f>
        <v>0</v>
      </c>
      <c r="F7" s="303">
        <f>100*A2/16.2*0.6</f>
        <v>0</v>
      </c>
      <c r="G7" s="303">
        <f>100*A2/16.2*0.5</f>
        <v>0</v>
      </c>
      <c r="H7" s="303">
        <f>100*A2/16.2*0.4</f>
        <v>0</v>
      </c>
      <c r="I7" s="303">
        <f>100*A2/16.2*0.3</f>
        <v>0</v>
      </c>
      <c r="J7" s="303">
        <f>100*A2/16.2*0.2</f>
        <v>0</v>
      </c>
      <c r="K7" s="303">
        <f>100*A2/16.2*0.1</f>
        <v>0</v>
      </c>
      <c r="L7" s="304">
        <f>100*A2/16.2*0</f>
        <v>0</v>
      </c>
    </row>
    <row r="8" spans="1:12" x14ac:dyDescent="0.35">
      <c r="A8" s="374"/>
      <c r="B8" s="308" t="s">
        <v>103</v>
      </c>
      <c r="C8" s="286">
        <f>100*A2/28*0.1</f>
        <v>0</v>
      </c>
      <c r="D8" s="286">
        <f>100*A2/28*0.2</f>
        <v>0</v>
      </c>
      <c r="E8" s="286">
        <f>100*A2/28*0.3</f>
        <v>0</v>
      </c>
      <c r="F8" s="286">
        <f>100*A2/28*0.4</f>
        <v>0</v>
      </c>
      <c r="G8" s="286">
        <f>100*A2/28*0.5</f>
        <v>0</v>
      </c>
      <c r="H8" s="286">
        <f>100*A2/28*0.6</f>
        <v>0</v>
      </c>
      <c r="I8" s="286">
        <f>100*A2/28*0.7</f>
        <v>0</v>
      </c>
      <c r="J8" s="286">
        <f>100*A2/28*0.8</f>
        <v>0</v>
      </c>
      <c r="K8" s="286">
        <f>100*A2/28*0.9</f>
        <v>0</v>
      </c>
      <c r="L8" s="287">
        <f>100*A2/28*1</f>
        <v>0</v>
      </c>
    </row>
    <row r="9" spans="1:12" x14ac:dyDescent="0.35">
      <c r="A9" s="374"/>
      <c r="B9" s="331" t="s">
        <v>90</v>
      </c>
      <c r="C9" s="332">
        <f t="shared" ref="C9:L9" si="0">(C7*500/100)+(C8*385/100)</f>
        <v>0</v>
      </c>
      <c r="D9" s="332">
        <f t="shared" si="0"/>
        <v>0</v>
      </c>
      <c r="E9" s="332">
        <f t="shared" si="0"/>
        <v>0</v>
      </c>
      <c r="F9" s="332">
        <f t="shared" si="0"/>
        <v>0</v>
      </c>
      <c r="G9" s="332">
        <f t="shared" si="0"/>
        <v>0</v>
      </c>
      <c r="H9" s="332">
        <f t="shared" si="0"/>
        <v>0</v>
      </c>
      <c r="I9" s="332">
        <f t="shared" si="0"/>
        <v>0</v>
      </c>
      <c r="J9" s="332">
        <f t="shared" si="0"/>
        <v>0</v>
      </c>
      <c r="K9" s="332">
        <f t="shared" si="0"/>
        <v>0</v>
      </c>
      <c r="L9" s="334">
        <f t="shared" si="0"/>
        <v>0</v>
      </c>
    </row>
    <row r="10" spans="1:12" ht="15" thickBot="1" x14ac:dyDescent="0.4">
      <c r="A10" s="375"/>
      <c r="B10" s="293" t="s">
        <v>48</v>
      </c>
      <c r="C10" s="300">
        <f t="shared" ref="C10:L10" si="1">C8*11.2/100</f>
        <v>0</v>
      </c>
      <c r="D10" s="300">
        <f t="shared" si="1"/>
        <v>0</v>
      </c>
      <c r="E10" s="300">
        <f t="shared" si="1"/>
        <v>0</v>
      </c>
      <c r="F10" s="300">
        <f t="shared" si="1"/>
        <v>0</v>
      </c>
      <c r="G10" s="300">
        <f t="shared" si="1"/>
        <v>0</v>
      </c>
      <c r="H10" s="300">
        <f t="shared" si="1"/>
        <v>0</v>
      </c>
      <c r="I10" s="300">
        <f t="shared" si="1"/>
        <v>0</v>
      </c>
      <c r="J10" s="300">
        <f t="shared" si="1"/>
        <v>0</v>
      </c>
      <c r="K10" s="300">
        <f t="shared" si="1"/>
        <v>0</v>
      </c>
      <c r="L10" s="301">
        <f t="shared" si="1"/>
        <v>0</v>
      </c>
    </row>
    <row r="11" spans="1:12" x14ac:dyDescent="0.35">
      <c r="A11" s="278"/>
      <c r="B11" s="291"/>
      <c r="C11" s="292"/>
      <c r="D11" s="292"/>
      <c r="E11" s="292"/>
      <c r="F11" s="292"/>
      <c r="L11" s="277"/>
    </row>
    <row r="12" spans="1:12" ht="15" thickBot="1" x14ac:dyDescent="0.4">
      <c r="A12" s="278"/>
      <c r="L12" s="277"/>
    </row>
    <row r="13" spans="1:12" x14ac:dyDescent="0.35">
      <c r="A13" s="377" t="s">
        <v>94</v>
      </c>
      <c r="B13" s="369" t="s">
        <v>49</v>
      </c>
      <c r="C13" s="369"/>
      <c r="D13" s="369"/>
      <c r="E13" s="369"/>
      <c r="F13" s="369"/>
      <c r="G13" s="369"/>
      <c r="H13" s="369"/>
      <c r="I13" s="370"/>
      <c r="L13" s="277"/>
    </row>
    <row r="14" spans="1:12" x14ac:dyDescent="0.35">
      <c r="A14" s="378"/>
      <c r="B14" s="295"/>
      <c r="C14" s="280" t="s">
        <v>38</v>
      </c>
      <c r="D14" s="280" t="s">
        <v>39</v>
      </c>
      <c r="E14" s="280" t="s">
        <v>40</v>
      </c>
      <c r="F14" s="280" t="s">
        <v>41</v>
      </c>
      <c r="G14" s="280" t="s">
        <v>42</v>
      </c>
      <c r="H14" s="280" t="s">
        <v>43</v>
      </c>
      <c r="I14" s="281" t="s">
        <v>44</v>
      </c>
      <c r="L14" s="277"/>
    </row>
    <row r="15" spans="1:12" x14ac:dyDescent="0.35">
      <c r="A15" s="378"/>
      <c r="B15" s="302" t="s">
        <v>105</v>
      </c>
      <c r="C15" s="303">
        <f>100*A2/16.2*0.857</f>
        <v>0</v>
      </c>
      <c r="D15" s="303">
        <f>100*A2/16.2*0.714</f>
        <v>0</v>
      </c>
      <c r="E15" s="303">
        <f>100*A2/16.2*0.571</f>
        <v>0</v>
      </c>
      <c r="F15" s="303">
        <f>100*A2/16.2*0.429</f>
        <v>0</v>
      </c>
      <c r="G15" s="303">
        <f>100*A2/16.2*0.286</f>
        <v>0</v>
      </c>
      <c r="H15" s="303">
        <f>100*A2/16.2*0.143</f>
        <v>0</v>
      </c>
      <c r="I15" s="304">
        <f>100*A2/16.2*0</f>
        <v>0</v>
      </c>
      <c r="L15" s="277"/>
    </row>
    <row r="16" spans="1:12" x14ac:dyDescent="0.35">
      <c r="A16" s="378"/>
      <c r="B16" s="308" t="s">
        <v>103</v>
      </c>
      <c r="C16" s="286">
        <f>100*A2/28*0.143</f>
        <v>0</v>
      </c>
      <c r="D16" s="286">
        <f>100*A2/28*0.286</f>
        <v>0</v>
      </c>
      <c r="E16" s="286">
        <f>100*A2/28*0.429</f>
        <v>0</v>
      </c>
      <c r="F16" s="286">
        <f>100*A2/28*0.571</f>
        <v>0</v>
      </c>
      <c r="G16" s="286">
        <f>100*A2/28*0.714</f>
        <v>0</v>
      </c>
      <c r="H16" s="286">
        <f>100*A2/28*0.857</f>
        <v>0</v>
      </c>
      <c r="I16" s="287">
        <f>100*A2/28*1</f>
        <v>0</v>
      </c>
      <c r="L16" s="277"/>
    </row>
    <row r="17" spans="1:12" x14ac:dyDescent="0.35">
      <c r="A17" s="378"/>
      <c r="B17" s="331" t="s">
        <v>90</v>
      </c>
      <c r="C17" s="332">
        <f t="shared" ref="C17:I17" si="2">(C15*500/100)+(C16*385/100)</f>
        <v>0</v>
      </c>
      <c r="D17" s="332">
        <f t="shared" si="2"/>
        <v>0</v>
      </c>
      <c r="E17" s="332">
        <f t="shared" si="2"/>
        <v>0</v>
      </c>
      <c r="F17" s="332">
        <f t="shared" si="2"/>
        <v>0</v>
      </c>
      <c r="G17" s="332">
        <f t="shared" si="2"/>
        <v>0</v>
      </c>
      <c r="H17" s="332">
        <f t="shared" si="2"/>
        <v>0</v>
      </c>
      <c r="I17" s="334">
        <f t="shared" si="2"/>
        <v>0</v>
      </c>
      <c r="L17" s="277"/>
    </row>
    <row r="18" spans="1:12" ht="15" thickBot="1" x14ac:dyDescent="0.4">
      <c r="A18" s="379"/>
      <c r="B18" s="293" t="s">
        <v>48</v>
      </c>
      <c r="C18" s="300">
        <f t="shared" ref="C18:I18" si="3">C16*11.2/100</f>
        <v>0</v>
      </c>
      <c r="D18" s="300">
        <f t="shared" si="3"/>
        <v>0</v>
      </c>
      <c r="E18" s="300">
        <f t="shared" si="3"/>
        <v>0</v>
      </c>
      <c r="F18" s="300">
        <f t="shared" si="3"/>
        <v>0</v>
      </c>
      <c r="G18" s="300">
        <f t="shared" si="3"/>
        <v>0</v>
      </c>
      <c r="H18" s="300">
        <f t="shared" si="3"/>
        <v>0</v>
      </c>
      <c r="I18" s="301">
        <f t="shared" si="3"/>
        <v>0</v>
      </c>
      <c r="J18" s="291" t="s">
        <v>1</v>
      </c>
      <c r="L18" s="277"/>
    </row>
    <row r="19" spans="1:12" x14ac:dyDescent="0.35">
      <c r="A19" s="278"/>
      <c r="B19" s="291"/>
      <c r="C19" s="294"/>
      <c r="D19" s="294"/>
      <c r="E19" s="294"/>
      <c r="F19" s="294"/>
      <c r="G19" s="294"/>
      <c r="H19" s="294"/>
      <c r="I19" s="294"/>
      <c r="L19" s="277"/>
    </row>
    <row r="20" spans="1:12" ht="15" thickBot="1" x14ac:dyDescent="0.4">
      <c r="A20" s="278"/>
      <c r="L20" s="277"/>
    </row>
    <row r="21" spans="1:12" x14ac:dyDescent="0.35">
      <c r="A21" s="366" t="s">
        <v>88</v>
      </c>
      <c r="B21" s="369" t="s">
        <v>50</v>
      </c>
      <c r="C21" s="369"/>
      <c r="D21" s="369"/>
      <c r="E21" s="369"/>
      <c r="F21" s="370"/>
      <c r="L21" s="277"/>
    </row>
    <row r="22" spans="1:12" x14ac:dyDescent="0.35">
      <c r="A22" s="367"/>
      <c r="B22" s="295"/>
      <c r="C22" s="280" t="s">
        <v>38</v>
      </c>
      <c r="D22" s="280" t="s">
        <v>39</v>
      </c>
      <c r="E22" s="280" t="s">
        <v>40</v>
      </c>
      <c r="F22" s="281" t="s">
        <v>41</v>
      </c>
      <c r="L22" s="277"/>
    </row>
    <row r="23" spans="1:12" x14ac:dyDescent="0.35">
      <c r="A23" s="367"/>
      <c r="B23" s="302" t="s">
        <v>105</v>
      </c>
      <c r="C23" s="303">
        <f>100*A2/16.2*0.75</f>
        <v>0</v>
      </c>
      <c r="D23" s="303">
        <f>100*A2/16.2*0.5</f>
        <v>0</v>
      </c>
      <c r="E23" s="303">
        <f>100*A2/16.2*0.25</f>
        <v>0</v>
      </c>
      <c r="F23" s="304">
        <f>100/16.2*A2*0</f>
        <v>0</v>
      </c>
      <c r="L23" s="277"/>
    </row>
    <row r="24" spans="1:12" x14ac:dyDescent="0.35">
      <c r="A24" s="367"/>
      <c r="B24" s="308" t="s">
        <v>103</v>
      </c>
      <c r="C24" s="286">
        <f>100*A2/28*0.25</f>
        <v>0</v>
      </c>
      <c r="D24" s="286">
        <f>100*A2/28*0.5</f>
        <v>0</v>
      </c>
      <c r="E24" s="286">
        <f>100*A2/28*0.75</f>
        <v>0</v>
      </c>
      <c r="F24" s="287">
        <f>100*A2/28*1</f>
        <v>0</v>
      </c>
      <c r="L24" s="277"/>
    </row>
    <row r="25" spans="1:12" x14ac:dyDescent="0.35">
      <c r="A25" s="367"/>
      <c r="B25" s="331" t="s">
        <v>90</v>
      </c>
      <c r="C25" s="332">
        <f>(C23*500/100)+(C24*385/100)</f>
        <v>0</v>
      </c>
      <c r="D25" s="332">
        <f>(D23*500/100)+(D24*385/100)</f>
        <v>0</v>
      </c>
      <c r="E25" s="332">
        <f>(E23*500/100)+(E24*385/100)</f>
        <v>0</v>
      </c>
      <c r="F25" s="334">
        <f>(F23*500/100)+(F24*385/100)</f>
        <v>0</v>
      </c>
      <c r="L25" s="277"/>
    </row>
    <row r="26" spans="1:12" ht="15" thickBot="1" x14ac:dyDescent="0.4">
      <c r="A26" s="368"/>
      <c r="B26" s="293" t="s">
        <v>48</v>
      </c>
      <c r="C26" s="300">
        <f>C24*11.2/100</f>
        <v>0</v>
      </c>
      <c r="D26" s="300">
        <f>D24*11.2/100</f>
        <v>0</v>
      </c>
      <c r="E26" s="300">
        <f>E24*11.2/100</f>
        <v>0</v>
      </c>
      <c r="F26" s="301">
        <f>F24*11.2/100</f>
        <v>0</v>
      </c>
      <c r="L26" s="277"/>
    </row>
    <row r="27" spans="1:12" x14ac:dyDescent="0.35">
      <c r="A27" s="278"/>
      <c r="L27" s="277"/>
    </row>
    <row r="28" spans="1:12" ht="15" thickBot="1" x14ac:dyDescent="0.4">
      <c r="A28" s="296"/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6"/>
    </row>
    <row r="30" spans="1:12" ht="7.5" customHeight="1" x14ac:dyDescent="0.35"/>
    <row r="31" spans="1:12" x14ac:dyDescent="0.35">
      <c r="A31" t="s">
        <v>107</v>
      </c>
    </row>
    <row r="32" spans="1:12" ht="8.25" customHeight="1" x14ac:dyDescent="0.35">
      <c r="B32" s="384"/>
      <c r="C32" s="384"/>
      <c r="D32" s="384"/>
      <c r="E32" s="384"/>
      <c r="F32" s="384"/>
      <c r="G32" s="384"/>
      <c r="H32" s="384"/>
    </row>
    <row r="33" spans="1:1" x14ac:dyDescent="0.35">
      <c r="A33" s="262" t="s">
        <v>111</v>
      </c>
    </row>
    <row r="34" spans="1:1" x14ac:dyDescent="0.35">
      <c r="A34" s="297" t="s">
        <v>106</v>
      </c>
    </row>
  </sheetData>
  <sheetProtection algorithmName="SHA-512" hashValue="9yOG8TYvqN9LoDiFY2coM43YFKo56yFM+aGG8HI2m7Sz8lEf6kk3qVjxVY7EdfAPgsHi085sM8ExF5y7tOkdUQ==" saltValue="80T3xgKTsG3bgLFvNIiXMg==" spinCount="100000" sheet="1" objects="1" scenarios="1"/>
  <mergeCells count="9">
    <mergeCell ref="A21:A26"/>
    <mergeCell ref="B21:F21"/>
    <mergeCell ref="B32:H32"/>
    <mergeCell ref="D1:J2"/>
    <mergeCell ref="A1:B1"/>
    <mergeCell ref="A5:A10"/>
    <mergeCell ref="B5:L5"/>
    <mergeCell ref="A13:A18"/>
    <mergeCell ref="B13:I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F45DD173B39446A06691C5F6119885" ma:contentTypeVersion="13" ma:contentTypeDescription="Create a new document." ma:contentTypeScope="" ma:versionID="e1dd553a8cb825aac01f8bbeeb06ae58">
  <xsd:schema xmlns:xsd="http://www.w3.org/2001/XMLSchema" xmlns:xs="http://www.w3.org/2001/XMLSchema" xmlns:p="http://schemas.microsoft.com/office/2006/metadata/properties" xmlns:ns3="81159831-01ae-441a-9d8c-148830c87460" xmlns:ns4="fe9b7d59-9fff-4b80-b384-28b07c6a1f11" targetNamespace="http://schemas.microsoft.com/office/2006/metadata/properties" ma:root="true" ma:fieldsID="d0bdbff0fd916267c7e37ce68b4e7c3e" ns3:_="" ns4:_="">
    <xsd:import namespace="81159831-01ae-441a-9d8c-148830c87460"/>
    <xsd:import namespace="fe9b7d59-9fff-4b80-b384-28b07c6a1f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59831-01ae-441a-9d8c-148830c874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b7d59-9fff-4b80-b384-28b07c6a1f1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E1470B-49D4-45D1-9B73-9AB6B2DFF2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A8A378-CAD0-40BE-AC16-E645F35535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2CB0E54-2519-4B23-AA03-B3F8D30167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159831-01ae-441a-9d8c-148830c87460"/>
    <ds:schemaRef ds:uri="fe9b7d59-9fff-4b80-b384-28b07c6a1f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Home</vt:lpstr>
      <vt:lpstr>DRIs HCU Anamix Early Yrs</vt:lpstr>
      <vt:lpstr>DRIs HCU Anamix Next</vt:lpstr>
      <vt:lpstr>Early Years to HCU Anamix Next</vt:lpstr>
      <vt:lpstr>Abbott Hominex-1 to Early Yrs</vt:lpstr>
      <vt:lpstr>Abbott Hominex-1 to Next</vt:lpstr>
      <vt:lpstr>MJ HCY 1 to Early Yrs</vt:lpstr>
      <vt:lpstr>MJ HCY 1 to Next</vt:lpstr>
    </vt:vector>
  </TitlesOfParts>
  <Company>The Dannon Company,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Leuffgen Linda</dc:creator>
  <cp:lastModifiedBy>POWERS Rachel</cp:lastModifiedBy>
  <dcterms:created xsi:type="dcterms:W3CDTF">2015-03-31T16:54:07Z</dcterms:created>
  <dcterms:modified xsi:type="dcterms:W3CDTF">2023-02-10T16:41:15Z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0x0101006CF45DD173B39446A06691C5F6119885</vt:lpwstr>
  </property>
</Properties>
</file>