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8" documentId="8_{1AEB2D08-11F2-466A-A575-C46C7626B2AD}" xr6:coauthVersionLast="47" xr6:coauthVersionMax="47" xr10:uidLastSave="{07F93026-03AF-412E-877D-7DF0310E2F04}"/>
  <bookViews>
    <workbookView xWindow="-110" yWindow="-110" windowWidth="19420" windowHeight="10560" tabRatio="832" xr2:uid="{00000000-000D-0000-FFFF-FFFF00000000}"/>
  </bookViews>
  <sheets>
    <sheet name="Home" sheetId="1" r:id="rId1"/>
    <sheet name="DRIs MSUD Anamix Early Yrs" sheetId="2" r:id="rId2"/>
    <sheet name="DRIs Complex MSD Essential" sheetId="19" r:id="rId3"/>
    <sheet name="Early Years to Essential" sheetId="6" r:id="rId4"/>
    <sheet name="Abbott Ketonex-1 to Early Yrs" sheetId="11" r:id="rId5"/>
    <sheet name="Abbott Ketonex-1 to Essential" sheetId="16" r:id="rId6"/>
    <sheet name="MJ BCAD-1 to Early Yrs" sheetId="17" r:id="rId7"/>
    <sheet name="MJ BCAD-1 to Essential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8" l="1"/>
  <c r="I18" i="18" s="1"/>
  <c r="H16" i="18"/>
  <c r="H18" i="18" s="1"/>
  <c r="G16" i="18"/>
  <c r="G18" i="18" s="1"/>
  <c r="F16" i="18"/>
  <c r="F18" i="18" s="1"/>
  <c r="E16" i="18"/>
  <c r="E18" i="18" s="1"/>
  <c r="D16" i="18"/>
  <c r="D18" i="18" s="1"/>
  <c r="C16" i="18"/>
  <c r="C18" i="18" s="1"/>
  <c r="J10" i="18"/>
  <c r="L8" i="18"/>
  <c r="L10" i="18" s="1"/>
  <c r="K8" i="18"/>
  <c r="K10" i="18" s="1"/>
  <c r="J8" i="18"/>
  <c r="I8" i="18"/>
  <c r="I10" i="18" s="1"/>
  <c r="H8" i="18"/>
  <c r="H10" i="18" s="1"/>
  <c r="G8" i="18"/>
  <c r="G10" i="18" s="1"/>
  <c r="F8" i="18"/>
  <c r="F10" i="18" s="1"/>
  <c r="E8" i="18"/>
  <c r="E10" i="18" s="1"/>
  <c r="D8" i="18"/>
  <c r="D10" i="18" s="1"/>
  <c r="C8" i="18"/>
  <c r="C10" i="18" s="1"/>
  <c r="C26" i="16"/>
  <c r="I18" i="16"/>
  <c r="C18" i="16"/>
  <c r="L10" i="16"/>
  <c r="K10" i="16"/>
  <c r="E10" i="16"/>
  <c r="D10" i="16"/>
  <c r="C10" i="16"/>
  <c r="F24" i="16"/>
  <c r="F26" i="16" s="1"/>
  <c r="E24" i="16"/>
  <c r="E26" i="16" s="1"/>
  <c r="D24" i="16"/>
  <c r="D26" i="16" s="1"/>
  <c r="C24" i="16"/>
  <c r="I16" i="16"/>
  <c r="H16" i="16"/>
  <c r="H18" i="16" s="1"/>
  <c r="G16" i="16"/>
  <c r="G18" i="16" s="1"/>
  <c r="F16" i="16"/>
  <c r="F18" i="16" s="1"/>
  <c r="E16" i="16"/>
  <c r="E18" i="16" s="1"/>
  <c r="D16" i="16"/>
  <c r="D18" i="16" s="1"/>
  <c r="C16" i="16"/>
  <c r="L8" i="16"/>
  <c r="K8" i="16"/>
  <c r="J8" i="16"/>
  <c r="J10" i="16" s="1"/>
  <c r="I8" i="16"/>
  <c r="I10" i="16" s="1"/>
  <c r="H8" i="16"/>
  <c r="H10" i="16" s="1"/>
  <c r="G8" i="16"/>
  <c r="G10" i="16" s="1"/>
  <c r="F8" i="16"/>
  <c r="F10" i="16" s="1"/>
  <c r="E8" i="16"/>
  <c r="D8" i="16"/>
  <c r="C8" i="16"/>
  <c r="F22" i="6"/>
  <c r="E22" i="6"/>
  <c r="D22" i="6"/>
  <c r="C22" i="6"/>
  <c r="H15" i="6"/>
  <c r="G15" i="6"/>
  <c r="F15" i="6"/>
  <c r="E15" i="6"/>
  <c r="D15" i="6"/>
  <c r="C15" i="6"/>
  <c r="H8" i="6"/>
  <c r="G8" i="6"/>
  <c r="F8" i="6"/>
  <c r="E8" i="6"/>
  <c r="D8" i="6"/>
  <c r="C8" i="6"/>
  <c r="B13" i="19"/>
  <c r="B4" i="19"/>
  <c r="B5" i="19" s="1"/>
  <c r="B15" i="19" l="1"/>
  <c r="B21" i="19"/>
  <c r="B30" i="19"/>
  <c r="B39" i="19"/>
  <c r="B9" i="19"/>
  <c r="B29" i="19"/>
  <c r="B8" i="19"/>
  <c r="B23" i="19"/>
  <c r="B31" i="19"/>
  <c r="B40" i="19"/>
  <c r="B10" i="19"/>
  <c r="B24" i="19"/>
  <c r="B33" i="19"/>
  <c r="B41" i="19"/>
  <c r="B11" i="19"/>
  <c r="B38" i="19"/>
  <c r="B17" i="19"/>
  <c r="B25" i="19"/>
  <c r="B34" i="19"/>
  <c r="B42" i="19"/>
  <c r="B12" i="19"/>
  <c r="B18" i="19"/>
  <c r="B26" i="19"/>
  <c r="B35" i="19"/>
  <c r="B43" i="19"/>
  <c r="B22" i="19"/>
  <c r="B19" i="19"/>
  <c r="B27" i="19"/>
  <c r="B36" i="19"/>
  <c r="B44" i="19"/>
  <c r="B46" i="19"/>
  <c r="B20" i="19"/>
  <c r="B28" i="19"/>
  <c r="B37" i="19"/>
  <c r="B45" i="19"/>
  <c r="B14" i="19"/>
  <c r="B6" i="19"/>
  <c r="J44" i="19" l="1"/>
  <c r="J39" i="19"/>
  <c r="J36" i="19"/>
  <c r="J26" i="19"/>
  <c r="J23" i="19"/>
  <c r="J18" i="19"/>
  <c r="B7" i="19"/>
  <c r="F7" i="19" s="1"/>
  <c r="H7" i="19" l="1"/>
  <c r="J7" i="19"/>
  <c r="J42" i="19"/>
  <c r="H42" i="19"/>
  <c r="F42" i="19"/>
  <c r="D42" i="19"/>
  <c r="D18" i="19"/>
  <c r="D26" i="19"/>
  <c r="D39" i="19"/>
  <c r="F18" i="19"/>
  <c r="D23" i="19"/>
  <c r="F26" i="19"/>
  <c r="D36" i="19"/>
  <c r="F39" i="19"/>
  <c r="D44" i="19"/>
  <c r="H18" i="19"/>
  <c r="F23" i="19"/>
  <c r="H26" i="19"/>
  <c r="F36" i="19"/>
  <c r="H39" i="19"/>
  <c r="F44" i="19"/>
  <c r="H23" i="19"/>
  <c r="H36" i="19"/>
  <c r="H44" i="19"/>
  <c r="D7" i="19"/>
  <c r="H15" i="19" l="1"/>
  <c r="F15" i="19"/>
  <c r="D15" i="19"/>
  <c r="J15" i="19"/>
  <c r="J33" i="19"/>
  <c r="H33" i="19"/>
  <c r="F33" i="19"/>
  <c r="D33" i="19"/>
  <c r="H35" i="19"/>
  <c r="F35" i="19"/>
  <c r="D35" i="19"/>
  <c r="J35" i="19"/>
  <c r="D45" i="19"/>
  <c r="J45" i="19"/>
  <c r="H45" i="19"/>
  <c r="F45" i="19"/>
  <c r="D37" i="19"/>
  <c r="J37" i="19"/>
  <c r="H37" i="19"/>
  <c r="F37" i="19"/>
  <c r="J28" i="19"/>
  <c r="H28" i="19"/>
  <c r="F28" i="19"/>
  <c r="D28" i="19"/>
  <c r="D24" i="19"/>
  <c r="J24" i="19"/>
  <c r="H24" i="19"/>
  <c r="F24" i="19"/>
  <c r="J17" i="19"/>
  <c r="H17" i="19"/>
  <c r="F17" i="19"/>
  <c r="D17" i="19"/>
  <c r="H30" i="19"/>
  <c r="F30" i="19"/>
  <c r="D30" i="19"/>
  <c r="J30" i="19"/>
  <c r="J38" i="19"/>
  <c r="H38" i="19"/>
  <c r="F38" i="19"/>
  <c r="D38" i="19"/>
  <c r="J20" i="19"/>
  <c r="H20" i="19"/>
  <c r="F20" i="19"/>
  <c r="D20" i="19"/>
  <c r="F19" i="19"/>
  <c r="D19" i="19"/>
  <c r="J19" i="19"/>
  <c r="H19" i="19"/>
  <c r="J25" i="19"/>
  <c r="H25" i="19"/>
  <c r="F25" i="19"/>
  <c r="D25" i="19"/>
  <c r="J46" i="19"/>
  <c r="H46" i="19"/>
  <c r="F46" i="19"/>
  <c r="D46" i="19"/>
  <c r="J34" i="19"/>
  <c r="H34" i="19"/>
  <c r="F34" i="19"/>
  <c r="D34" i="19"/>
  <c r="J29" i="19"/>
  <c r="H29" i="19"/>
  <c r="F29" i="19"/>
  <c r="D29" i="19"/>
  <c r="F40" i="19"/>
  <c r="D40" i="19"/>
  <c r="J40" i="19"/>
  <c r="H40" i="19"/>
  <c r="J41" i="19"/>
  <c r="H41" i="19"/>
  <c r="F41" i="19"/>
  <c r="D41" i="19"/>
  <c r="J14" i="19"/>
  <c r="H14" i="19"/>
  <c r="F14" i="19"/>
  <c r="D14" i="19"/>
  <c r="H43" i="19"/>
  <c r="F43" i="19"/>
  <c r="D43" i="19"/>
  <c r="J43" i="19"/>
  <c r="J21" i="19"/>
  <c r="H21" i="19"/>
  <c r="F21" i="19"/>
  <c r="D21" i="19"/>
  <c r="F27" i="19"/>
  <c r="D27" i="19"/>
  <c r="J27" i="19"/>
  <c r="H27" i="19"/>
  <c r="H22" i="19"/>
  <c r="F22" i="19"/>
  <c r="D22" i="19"/>
  <c r="J22" i="19"/>
  <c r="C7" i="16" l="1"/>
  <c r="C9" i="16" s="1"/>
  <c r="L8" i="6"/>
  <c r="L9" i="6" s="1"/>
  <c r="K8" i="6"/>
  <c r="K9" i="6" s="1"/>
  <c r="J8" i="6"/>
  <c r="I8" i="6"/>
  <c r="L7" i="6"/>
  <c r="K7" i="6"/>
  <c r="J7" i="6"/>
  <c r="J9" i="6" s="1"/>
  <c r="I7" i="6"/>
  <c r="I9" i="6" s="1"/>
  <c r="C7" i="6" l="1"/>
  <c r="C9" i="6" s="1"/>
  <c r="F23" i="18" l="1"/>
  <c r="E23" i="18"/>
  <c r="D23" i="18"/>
  <c r="C23" i="18"/>
  <c r="C25" i="18" s="1"/>
  <c r="I15" i="18"/>
  <c r="I17" i="18" s="1"/>
  <c r="H15" i="18"/>
  <c r="H17" i="18" s="1"/>
  <c r="G15" i="18"/>
  <c r="G17" i="18" s="1"/>
  <c r="F15" i="18"/>
  <c r="F17" i="18" s="1"/>
  <c r="E15" i="18"/>
  <c r="E17" i="18" s="1"/>
  <c r="D15" i="18"/>
  <c r="D17" i="18" s="1"/>
  <c r="C15" i="18"/>
  <c r="C17" i="18" s="1"/>
  <c r="L7" i="18"/>
  <c r="L9" i="18" s="1"/>
  <c r="K7" i="18"/>
  <c r="K9" i="18" s="1"/>
  <c r="J7" i="18"/>
  <c r="J9" i="18" s="1"/>
  <c r="I7" i="18"/>
  <c r="I9" i="18" s="1"/>
  <c r="H7" i="18"/>
  <c r="H9" i="18" s="1"/>
  <c r="G7" i="18"/>
  <c r="G9" i="18" s="1"/>
  <c r="F7" i="18"/>
  <c r="F9" i="18" s="1"/>
  <c r="E7" i="18"/>
  <c r="E9" i="18" s="1"/>
  <c r="D7" i="18"/>
  <c r="D9" i="18" s="1"/>
  <c r="C7" i="18"/>
  <c r="C9" i="18" s="1"/>
  <c r="F24" i="18"/>
  <c r="F26" i="18" s="1"/>
  <c r="E24" i="18"/>
  <c r="E26" i="18" s="1"/>
  <c r="D24" i="18"/>
  <c r="D26" i="18" s="1"/>
  <c r="C24" i="18"/>
  <c r="C26" i="18" s="1"/>
  <c r="F23" i="17"/>
  <c r="E23" i="17"/>
  <c r="D23" i="17"/>
  <c r="D25" i="17" s="1"/>
  <c r="C23" i="17"/>
  <c r="I15" i="17"/>
  <c r="I17" i="17" s="1"/>
  <c r="H15" i="17"/>
  <c r="H17" i="17" s="1"/>
  <c r="G15" i="17"/>
  <c r="F15" i="17"/>
  <c r="E15" i="17"/>
  <c r="D15" i="17"/>
  <c r="C15" i="17"/>
  <c r="C17" i="17" s="1"/>
  <c r="L7" i="17"/>
  <c r="K7" i="17"/>
  <c r="K9" i="17" s="1"/>
  <c r="J7" i="17"/>
  <c r="J9" i="17" s="1"/>
  <c r="I7" i="17"/>
  <c r="H7" i="17"/>
  <c r="G7" i="17"/>
  <c r="F7" i="17"/>
  <c r="E7" i="17"/>
  <c r="E9" i="17" s="1"/>
  <c r="D7" i="17"/>
  <c r="C7" i="17"/>
  <c r="C9" i="17" s="1"/>
  <c r="F24" i="17"/>
  <c r="F26" i="17" s="1"/>
  <c r="E24" i="17"/>
  <c r="E26" i="17" s="1"/>
  <c r="D24" i="17"/>
  <c r="D26" i="17" s="1"/>
  <c r="C24" i="17"/>
  <c r="C26" i="17" s="1"/>
  <c r="I16" i="17"/>
  <c r="I18" i="17" s="1"/>
  <c r="H16" i="17"/>
  <c r="H18" i="17" s="1"/>
  <c r="G16" i="17"/>
  <c r="G18" i="17" s="1"/>
  <c r="F16" i="17"/>
  <c r="F18" i="17" s="1"/>
  <c r="E16" i="17"/>
  <c r="E18" i="17" s="1"/>
  <c r="D16" i="17"/>
  <c r="D18" i="17" s="1"/>
  <c r="C16" i="17"/>
  <c r="C18" i="17" s="1"/>
  <c r="L8" i="17"/>
  <c r="L10" i="17" s="1"/>
  <c r="K8" i="17"/>
  <c r="K10" i="17" s="1"/>
  <c r="J8" i="17"/>
  <c r="J10" i="17" s="1"/>
  <c r="I8" i="17"/>
  <c r="I10" i="17" s="1"/>
  <c r="H8" i="17"/>
  <c r="H10" i="17" s="1"/>
  <c r="G8" i="17"/>
  <c r="G10" i="17" s="1"/>
  <c r="F8" i="17"/>
  <c r="F10" i="17" s="1"/>
  <c r="E8" i="17"/>
  <c r="E10" i="17" s="1"/>
  <c r="D8" i="17"/>
  <c r="D10" i="17" s="1"/>
  <c r="C8" i="17"/>
  <c r="C10" i="17" s="1"/>
  <c r="F23" i="16"/>
  <c r="F25" i="16" s="1"/>
  <c r="E23" i="16"/>
  <c r="E25" i="16" s="1"/>
  <c r="D23" i="16"/>
  <c r="D25" i="16" s="1"/>
  <c r="C23" i="16"/>
  <c r="C25" i="16" s="1"/>
  <c r="I15" i="16"/>
  <c r="I17" i="16" s="1"/>
  <c r="H15" i="16"/>
  <c r="H17" i="16" s="1"/>
  <c r="G15" i="16"/>
  <c r="G17" i="16" s="1"/>
  <c r="F15" i="16"/>
  <c r="F17" i="16" s="1"/>
  <c r="E15" i="16"/>
  <c r="E17" i="16" s="1"/>
  <c r="D15" i="16"/>
  <c r="D17" i="16" s="1"/>
  <c r="C15" i="16"/>
  <c r="C17" i="16" s="1"/>
  <c r="L7" i="16"/>
  <c r="L9" i="16" s="1"/>
  <c r="K7" i="16"/>
  <c r="K9" i="16" s="1"/>
  <c r="J7" i="16"/>
  <c r="J9" i="16" s="1"/>
  <c r="I7" i="16"/>
  <c r="I9" i="16" s="1"/>
  <c r="H7" i="16"/>
  <c r="H9" i="16" s="1"/>
  <c r="G7" i="16"/>
  <c r="G9" i="16" s="1"/>
  <c r="F7" i="16"/>
  <c r="F9" i="16" s="1"/>
  <c r="E7" i="16"/>
  <c r="E9" i="16" s="1"/>
  <c r="D7" i="16"/>
  <c r="D9" i="16" s="1"/>
  <c r="D25" i="18" l="1"/>
  <c r="E25" i="18"/>
  <c r="F25" i="18"/>
  <c r="D9" i="17"/>
  <c r="L9" i="17"/>
  <c r="C25" i="17"/>
  <c r="F9" i="17"/>
  <c r="D17" i="17"/>
  <c r="E25" i="17"/>
  <c r="G9" i="17"/>
  <c r="E17" i="17"/>
  <c r="F25" i="17"/>
  <c r="H9" i="17"/>
  <c r="F17" i="17"/>
  <c r="I9" i="17"/>
  <c r="G17" i="17"/>
  <c r="H14" i="6"/>
  <c r="H16" i="6" s="1"/>
  <c r="G14" i="6"/>
  <c r="G16" i="6" s="1"/>
  <c r="F14" i="6"/>
  <c r="F16" i="6" s="1"/>
  <c r="E14" i="6"/>
  <c r="E16" i="6" s="1"/>
  <c r="D14" i="6"/>
  <c r="D16" i="6" s="1"/>
  <c r="C14" i="6"/>
  <c r="C16" i="6" s="1"/>
  <c r="F23" i="11" l="1"/>
  <c r="E23" i="11"/>
  <c r="D23" i="11"/>
  <c r="C23" i="11"/>
  <c r="I15" i="11"/>
  <c r="H15" i="11"/>
  <c r="H17" i="11" s="1"/>
  <c r="G15" i="11"/>
  <c r="F15" i="11"/>
  <c r="E15" i="11"/>
  <c r="D15" i="11"/>
  <c r="C15" i="11"/>
  <c r="L7" i="11"/>
  <c r="K7" i="11"/>
  <c r="J7" i="11"/>
  <c r="I7" i="11"/>
  <c r="H7" i="11"/>
  <c r="G7" i="11"/>
  <c r="F7" i="11"/>
  <c r="E7" i="11"/>
  <c r="D7" i="11"/>
  <c r="C7" i="11"/>
  <c r="F24" i="11"/>
  <c r="F26" i="11" s="1"/>
  <c r="E24" i="11"/>
  <c r="E26" i="11" s="1"/>
  <c r="D24" i="11"/>
  <c r="D26" i="11" s="1"/>
  <c r="C24" i="11"/>
  <c r="C26" i="11" s="1"/>
  <c r="I16" i="11"/>
  <c r="I18" i="11" s="1"/>
  <c r="H16" i="11"/>
  <c r="H18" i="11" s="1"/>
  <c r="G16" i="11"/>
  <c r="G18" i="11" s="1"/>
  <c r="F16" i="11"/>
  <c r="F18" i="11" s="1"/>
  <c r="E16" i="11"/>
  <c r="E18" i="11" s="1"/>
  <c r="D16" i="11"/>
  <c r="D18" i="11" s="1"/>
  <c r="C16" i="11"/>
  <c r="C18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C8" i="11"/>
  <c r="C10" i="11" s="1"/>
  <c r="E25" i="11" l="1"/>
  <c r="J9" i="11"/>
  <c r="F9" i="11"/>
  <c r="D17" i="11"/>
  <c r="C9" i="11"/>
  <c r="G9" i="11"/>
  <c r="K9" i="11"/>
  <c r="E17" i="11"/>
  <c r="I17" i="11"/>
  <c r="F25" i="11"/>
  <c r="D9" i="11"/>
  <c r="H9" i="11"/>
  <c r="L9" i="11"/>
  <c r="F17" i="11"/>
  <c r="C25" i="11"/>
  <c r="E9" i="11"/>
  <c r="I9" i="11"/>
  <c r="C17" i="11"/>
  <c r="G17" i="11"/>
  <c r="D25" i="11"/>
  <c r="B4" i="2"/>
  <c r="B5" i="2" l="1"/>
  <c r="B22" i="2"/>
  <c r="H22" i="2" s="1"/>
  <c r="B13" i="2"/>
  <c r="B12" i="2"/>
  <c r="B26" i="2"/>
  <c r="H26" i="2" s="1"/>
  <c r="B6" i="2"/>
  <c r="B47" i="2"/>
  <c r="H47" i="2" s="1"/>
  <c r="B46" i="2"/>
  <c r="H46" i="2" s="1"/>
  <c r="B45" i="2"/>
  <c r="H45" i="2" s="1"/>
  <c r="B44" i="2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2" i="2"/>
  <c r="B31" i="2"/>
  <c r="H31" i="2" s="1"/>
  <c r="B30" i="2"/>
  <c r="H30" i="2" s="1"/>
  <c r="B29" i="2"/>
  <c r="H29" i="2" s="1"/>
  <c r="B28" i="2"/>
  <c r="H28" i="2" s="1"/>
  <c r="B27" i="2"/>
  <c r="H27" i="2" s="1"/>
  <c r="B25" i="2"/>
  <c r="H25" i="2" s="1"/>
  <c r="B24" i="2"/>
  <c r="H24" i="2" s="1"/>
  <c r="B23" i="2"/>
  <c r="H23" i="2" s="1"/>
  <c r="B21" i="2"/>
  <c r="H21" i="2" s="1"/>
  <c r="B20" i="2"/>
  <c r="H20" i="2" s="1"/>
  <c r="B19" i="2"/>
  <c r="H19" i="2" s="1"/>
  <c r="B18" i="2"/>
  <c r="H18" i="2" s="1"/>
  <c r="B16" i="2"/>
  <c r="H16" i="2" s="1"/>
  <c r="B15" i="2"/>
  <c r="H15" i="2" s="1"/>
  <c r="B14" i="2"/>
  <c r="H14" i="2" s="1"/>
  <c r="B11" i="2"/>
  <c r="B10" i="2"/>
  <c r="B9" i="2"/>
  <c r="B8" i="2"/>
  <c r="B7" i="2"/>
  <c r="H7" i="2" s="1"/>
  <c r="D7" i="2" l="1"/>
  <c r="F7" i="2" l="1"/>
  <c r="F45" i="2"/>
  <c r="D45" i="2"/>
  <c r="F41" i="2" l="1"/>
  <c r="D41" i="2"/>
  <c r="F22" i="2"/>
  <c r="D22" i="2"/>
  <c r="D31" i="2"/>
  <c r="F31" i="2"/>
  <c r="F35" i="2"/>
  <c r="D35" i="2"/>
  <c r="F20" i="2"/>
  <c r="D20" i="2"/>
  <c r="F36" i="2"/>
  <c r="D36" i="2"/>
  <c r="D14" i="2"/>
  <c r="F14" i="2"/>
  <c r="D23" i="2"/>
  <c r="F23" i="2"/>
  <c r="F37" i="2"/>
  <c r="D37" i="2"/>
  <c r="F18" i="2"/>
  <c r="D18" i="2"/>
  <c r="D46" i="2"/>
  <c r="F46" i="2"/>
  <c r="F47" i="2"/>
  <c r="D47" i="2"/>
  <c r="F15" i="2"/>
  <c r="D15" i="2"/>
  <c r="F29" i="2"/>
  <c r="D29" i="2"/>
  <c r="D19" i="2"/>
  <c r="F19" i="2"/>
  <c r="F30" i="2"/>
  <c r="D30" i="2"/>
  <c r="D38" i="2"/>
  <c r="F38" i="2"/>
  <c r="F43" i="2"/>
  <c r="D43" i="2"/>
  <c r="F28" i="2"/>
  <c r="D28" i="2"/>
  <c r="F44" i="2"/>
  <c r="D44" i="2"/>
  <c r="D25" i="2"/>
  <c r="F25" i="2"/>
  <c r="D42" i="2"/>
  <c r="F42" i="2"/>
  <c r="F26" i="2"/>
  <c r="D26" i="2"/>
  <c r="F8" i="2"/>
  <c r="D8" i="2"/>
  <c r="D34" i="2"/>
  <c r="F34" i="2"/>
  <c r="F39" i="2"/>
  <c r="D39" i="2"/>
  <c r="F24" i="2"/>
  <c r="D24" i="2"/>
  <c r="D40" i="2"/>
  <c r="F40" i="2"/>
  <c r="D21" i="2"/>
  <c r="F21" i="2"/>
  <c r="D27" i="2"/>
  <c r="F27" i="2"/>
  <c r="F21" i="6"/>
  <c r="F23" i="6" s="1"/>
  <c r="E21" i="6"/>
  <c r="E23" i="6" s="1"/>
  <c r="D21" i="6"/>
  <c r="D23" i="6" s="1"/>
  <c r="C21" i="6"/>
  <c r="C23" i="6" s="1"/>
  <c r="H7" i="6"/>
  <c r="H9" i="6" s="1"/>
  <c r="G7" i="6"/>
  <c r="G9" i="6" s="1"/>
  <c r="F7" i="6"/>
  <c r="F9" i="6" s="1"/>
  <c r="E7" i="6"/>
  <c r="E9" i="6" s="1"/>
  <c r="D7" i="6"/>
  <c r="D9" i="6" s="1"/>
</calcChain>
</file>

<file path=xl/sharedStrings.xml><?xml version="1.0" encoding="utf-8"?>
<sst xmlns="http://schemas.openxmlformats.org/spreadsheetml/2006/main" count="381" uniqueCount="117">
  <si>
    <t>Patient's Name:</t>
  </si>
  <si>
    <t xml:space="preserve"> </t>
  </si>
  <si>
    <t>Product, g</t>
  </si>
  <si>
    <t xml:space="preserve">Calories </t>
  </si>
  <si>
    <t>Protein Equivalent, g</t>
  </si>
  <si>
    <t>Fat, g</t>
  </si>
  <si>
    <t>Carbohydrate, g</t>
  </si>
  <si>
    <t>VITAMINS</t>
  </si>
  <si>
    <t>Vit A, mcg</t>
  </si>
  <si>
    <t>Vit D, mcg</t>
  </si>
  <si>
    <t>Vit E, mg</t>
  </si>
  <si>
    <t>Vit K, mcg</t>
  </si>
  <si>
    <t>Thiamin, mg</t>
  </si>
  <si>
    <t>Riboflavin, mg</t>
  </si>
  <si>
    <t>Vit B6, mg</t>
  </si>
  <si>
    <t>Vit B12, mcg</t>
  </si>
  <si>
    <t>Folic Acid, mcg</t>
  </si>
  <si>
    <t>Pantothenic Acid, mg</t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</si>
  <si>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</si>
  <si>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</si>
  <si>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</si>
  <si>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</si>
  <si>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</si>
  <si>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</si>
  <si>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</si>
  <si>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</si>
  <si>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</si>
  <si>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</si>
  <si>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</si>
  <si>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</si>
  <si>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</si>
  <si>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</si>
  <si>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</si>
  <si>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</si>
  <si>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</si>
  <si>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</si>
  <si>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</si>
  <si>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</si>
  <si>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</si>
  <si>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</si>
  <si>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</si>
  <si>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</si>
  <si>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</si>
  <si>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</si>
  <si>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</si>
  <si>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</si>
  <si>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</si>
  <si>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</si>
  <si>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 xml:space="preserve">  Fiber, g</t>
  </si>
  <si>
    <t>7 Step Transition</t>
  </si>
  <si>
    <t>4 Step Transition</t>
  </si>
  <si>
    <t>Calories</t>
  </si>
  <si>
    <t>MINERALS</t>
  </si>
  <si>
    <t xml:space="preserve">  Saturated Fat, g</t>
  </si>
  <si>
    <t xml:space="preserve">  Monounsaturated Fat, g</t>
  </si>
  <si>
    <t xml:space="preserve">  Polyunsaturated Fat, g</t>
  </si>
  <si>
    <t>Niacin, mg</t>
  </si>
  <si>
    <t>DRI 1-3 years</t>
  </si>
  <si>
    <t>% DRI 
0-6 months</t>
  </si>
  <si>
    <t>% DRI 
7-12 months</t>
  </si>
  <si>
    <t>% DRI 
1-3 years</t>
  </si>
  <si>
    <t>Protein equivalent RDAs are based on g protein per kg body weight using reference body weights.</t>
  </si>
  <si>
    <r>
      <rPr>
        <sz val="11"/>
        <color indexed="8"/>
        <rFont val="Calibri"/>
        <family val="2"/>
      </rPr>
      <t xml:space="preserve">DRI values presented here are adapted from the </t>
    </r>
    <r>
      <rPr>
        <i/>
        <sz val="11"/>
        <color indexed="8"/>
        <rFont val="Calibri"/>
        <family val="2"/>
      </rPr>
      <t>Dietary Reference Intakes</t>
    </r>
    <r>
      <rPr>
        <sz val="11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</si>
  <si>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11"/>
        <color indexed="8"/>
        <rFont val="Calibri"/>
        <family val="2"/>
      </rPr>
      <t>bold, italicized type</t>
    </r>
    <r>
      <rPr>
        <sz val="11"/>
        <color indexed="8"/>
        <rFont val="Calibri"/>
        <family val="2"/>
      </rPr>
      <t xml:space="preserve"> and Adequate Intakes (AIs) are values shown in</t>
    </r>
    <r>
      <rPr>
        <i/>
        <sz val="11"/>
        <color indexed="8"/>
        <rFont val="Calibri"/>
        <family val="2"/>
      </rPr>
      <t xml:space="preserve"> italicized type</t>
    </r>
    <r>
      <rPr>
        <sz val="11"/>
        <color indexed="8"/>
        <rFont val="Calibri"/>
        <family val="2"/>
      </rPr>
      <t>.</t>
    </r>
  </si>
  <si>
    <r>
      <rPr>
        <b/>
        <sz val="11"/>
        <rFont val="Calibri"/>
        <family val="2"/>
        <scheme val="minor"/>
      </rPr>
      <t>Enter the grams of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Protein Equivalents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needed in the yellow box (cell B3) and press Enter.</t>
    </r>
  </si>
  <si>
    <t xml:space="preserve">       DHA, mg</t>
  </si>
  <si>
    <t xml:space="preserve">       ARA, mg</t>
  </si>
  <si>
    <t xml:space="preserve">       Linoleic Acid, mg</t>
  </si>
  <si>
    <r>
      <t xml:space="preserve">     </t>
    </r>
    <r>
      <rPr>
        <sz val="11"/>
        <color rgb="FF000000"/>
        <rFont val="Calibri"/>
        <family val="2"/>
        <scheme val="minor"/>
      </rPr>
      <t xml:space="preserve"> Scoops (5 g each)</t>
    </r>
  </si>
  <si>
    <t xml:space="preserve">   Saturated Fat, g</t>
  </si>
  <si>
    <t xml:space="preserve">   Monounsaturated Fat, g</t>
  </si>
  <si>
    <t xml:space="preserve">   Polyunsaturated Fat, g</t>
  </si>
  <si>
    <t xml:space="preserve">   Fiber, g</t>
  </si>
  <si>
    <t>DRI 
1-3 years</t>
  </si>
  <si>
    <t>DRI 
4-8 years</t>
  </si>
  <si>
    <t>% DRI 
4-8 years</t>
  </si>
  <si>
    <t>DRI 
9-13 years
(M)</t>
  </si>
  <si>
    <t>% DRI 
9-13 years 
(M)</t>
  </si>
  <si>
    <t>DRI 
9-13 years 
(F)</t>
  </si>
  <si>
    <t>% DRI 
9-13 years 
(F)</t>
  </si>
  <si>
    <t>DRI 
0-6 months</t>
  </si>
  <si>
    <t>DRI 
7-12 months</t>
  </si>
  <si>
    <t>10 Step Transition</t>
  </si>
  <si>
    <t>10 Step
Transition Guide</t>
  </si>
  <si>
    <t>4 Step 
Transition Guide</t>
  </si>
  <si>
    <t>6 Step 
Transition Guide</t>
  </si>
  <si>
    <t>Total Calories</t>
  </si>
  <si>
    <t>6 Step Transition</t>
  </si>
  <si>
    <r>
      <t xml:space="preserve">Type the grams of </t>
    </r>
    <r>
      <rPr>
        <b/>
        <sz val="11"/>
        <color indexed="17"/>
        <rFont val="Arial"/>
        <family val="2"/>
      </rPr>
      <t>Protein Equivalents</t>
    </r>
    <r>
      <rPr>
        <b/>
        <sz val="11"/>
        <rFont val="Arial"/>
        <family val="2"/>
      </rPr>
      <t xml:space="preserve"> needed in the YELLOW box (cell A2) and press Enter.</t>
    </r>
  </si>
  <si>
    <t>10 Step 
Transition Guide</t>
  </si>
  <si>
    <t>7 Step 
Transition Guide</t>
  </si>
  <si>
    <t>Anamix Early Years, g</t>
  </si>
  <si>
    <t>Hominex-1, g</t>
  </si>
  <si>
    <t>Ketonex®-1 is a registered trademark of Abbott Laboratories Inc. and is not affiliated with Nutricia North America.</t>
  </si>
  <si>
    <r>
      <rPr>
        <b/>
        <sz val="18"/>
        <rFont val="Calibri"/>
        <family val="2"/>
        <scheme val="minor"/>
      </rPr>
      <t>MSUD Anamix® Early Years DRI Calculator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For Healthcare Professionals</t>
    </r>
  </si>
  <si>
    <t>BCAD 1, g</t>
  </si>
  <si>
    <t>Complex Essential, g</t>
  </si>
  <si>
    <r>
      <t>Step-by-Step Transition 
from Abbott's Ketonex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MSUD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</si>
  <si>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t>Ketonex-1, g</t>
  </si>
  <si>
    <r>
      <t xml:space="preserve">      </t>
    </r>
    <r>
      <rPr>
        <sz val="11"/>
        <color rgb="FF000000"/>
        <rFont val="Calibri"/>
        <family val="2"/>
        <scheme val="minor"/>
      </rPr>
      <t>Linoleic Acid, mg</t>
    </r>
  </si>
  <si>
    <r>
      <t xml:space="preserve">  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α</t>
    </r>
    <r>
      <rPr>
        <b/>
        <sz val="11"/>
        <color indexed="8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Linolenic Acid, mg</t>
    </r>
  </si>
  <si>
    <t xml:space="preserve">   Scoops (40 g each)</t>
  </si>
  <si>
    <t>©2023 Nutricia North America. All Rights Reserved.</t>
  </si>
  <si>
    <r>
      <rPr>
        <b/>
        <sz val="18"/>
        <color rgb="FF000000"/>
        <rFont val="Arial Rounded MT Bold"/>
        <family val="2"/>
      </rPr>
      <t>Welcome to the MSUD Interactive Tool</t>
    </r>
    <r>
      <rPr>
        <sz val="12"/>
        <color indexed="8"/>
        <rFont val="Arial Rounded MT Bold"/>
        <family val="2"/>
      </rPr>
      <t xml:space="preserve">
</t>
    </r>
    <r>
      <rPr>
        <sz val="12"/>
        <color indexed="8"/>
        <rFont val="Calibri"/>
        <family val="2"/>
        <scheme val="minor"/>
      </rPr>
      <t xml:space="preserve">Our Medical Affairs team developed these worksheets to aid in transitioning your patients throughout the Nutricia product portfolio.
</t>
    </r>
    <r>
      <rPr>
        <i/>
        <sz val="12"/>
        <color indexed="8"/>
        <rFont val="Calibri"/>
        <family val="2"/>
        <scheme val="minor"/>
      </rPr>
      <t xml:space="preserve">
</t>
    </r>
    <r>
      <rPr>
        <i/>
        <sz val="12"/>
        <color indexed="36"/>
        <rFont val="Calibri"/>
        <family val="2"/>
        <scheme val="minor"/>
      </rPr>
      <t xml:space="preserve">Nutricia North America kindly requests that this calculator not be shared with anyone who is not a licensed or certified healthcare provider. </t>
    </r>
  </si>
  <si>
    <t>BCAD 1 is a product of Mead Johnson &amp; Company, LLC and is not affiliated with Nutricia North America.</t>
  </si>
  <si>
    <t>MSUD Anamix® Early Years is a medical food in the U.S. and a specialized formula in Canada  for the dietary management of maple syrup urine disease (MSUD) in infants and young children. Must be used under medical supervision.</t>
  </si>
  <si>
    <t>MSUD Anamix® Early Years is a medical food in the U.S. and a specialized formula in Canada for the dietary management of maple syrup urine disease (MSUD) in infants and young children. Must be used under medical supervision.</t>
  </si>
  <si>
    <t>Complex MSD Essential is a medical food in the U.S. and a specialized formula in Canada for the dietary management of maple syrup urine disease (MSUD) for individuals over 1 year of age and must be used under medical supervision.</t>
  </si>
  <si>
    <t>MSUD Anamix® Early Years and Complex MSD® Essential are medical foods in the U.S. and specialized formulas in Canada for the dietary management of maple syrup urine disease (MSUD) and must be used under medical supervision.</t>
  </si>
  <si>
    <t>Ketonex®-1 is a registered trademark of Abbott Laboratories Inc. and is not affiliated with Nutricia North America. https://www.abbottnutrition.com/our-products/ketonex-1. Accessed February 2023.</t>
  </si>
  <si>
    <t>Complex MSD® Essential is a medical food in the U.S. and a specialized formula in Canada for the dietary management of maple syrup urine disease (MSUD) for individuals over 1 year of age and must be used under medical supervision.</t>
  </si>
  <si>
    <t>BCAD 1 is a product of Mead Johnson &amp; Company, LLC and is not affiliated with Nutricia North America. https://www.enfamil.com/products/bcad-1-powder-formula/. Accessed February 2023.</t>
  </si>
  <si>
    <r>
      <t>Step-by-Step Transition 
from Mead Johnson's BCAD 1</t>
    </r>
    <r>
      <rPr>
        <sz val="16"/>
        <color indexed="8"/>
        <rFont val="Arial Rounded MT Bold"/>
        <family val="2"/>
      </rPr>
      <t xml:space="preserve">
to Nutricia's Complex MSD</t>
    </r>
    <r>
      <rPr>
        <sz val="16"/>
        <color indexed="8"/>
        <rFont val="Calibri"/>
        <family val="2"/>
      </rPr>
      <t>®</t>
    </r>
    <r>
      <rPr>
        <sz val="16"/>
        <color indexed="8"/>
        <rFont val="Arial Rounded MT Bold"/>
        <family val="2"/>
      </rPr>
      <t xml:space="preserve"> Essential</t>
    </r>
  </si>
  <si>
    <r>
      <t>Step-by-Step Transition 
from Mead Johnson's BCAD 1</t>
    </r>
    <r>
      <rPr>
        <sz val="16"/>
        <color indexed="8"/>
        <rFont val="Arial Rounded MT Bold"/>
        <family val="2"/>
      </rPr>
      <t xml:space="preserve">
to Nutricia's MSUD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</si>
  <si>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t>Step-by-Step Transition 
from Abbott's Ketonex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Complex MSD</t>
    </r>
    <r>
      <rPr>
        <sz val="16"/>
        <color indexed="8"/>
        <rFont val="Calibri"/>
        <family val="2"/>
      </rPr>
      <t>®</t>
    </r>
    <r>
      <rPr>
        <sz val="16"/>
        <color indexed="8"/>
        <rFont val="Arial Rounded MT Bold"/>
        <family val="2"/>
      </rPr>
      <t xml:space="preserve"> Essential</t>
    </r>
  </si>
  <si>
    <r>
      <t>Step-by-Step Transition from
MSUD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 to 
Complex MSD</t>
    </r>
    <r>
      <rPr>
        <sz val="16"/>
        <color indexed="8"/>
        <rFont val="Calibri"/>
        <family val="2"/>
      </rPr>
      <t>®</t>
    </r>
    <r>
      <rPr>
        <sz val="16"/>
        <color indexed="8"/>
        <rFont val="Arial Rounded MT Bold"/>
        <family val="2"/>
      </rPr>
      <t xml:space="preserve"> Essential!</t>
    </r>
  </si>
  <si>
    <r>
      <rPr>
        <b/>
        <sz val="20"/>
        <rFont val="Calibri"/>
        <family val="2"/>
        <scheme val="minor"/>
      </rPr>
      <t>Complex MSD</t>
    </r>
    <r>
      <rPr>
        <b/>
        <sz val="20"/>
        <rFont val="Calibri"/>
        <family val="2"/>
      </rPr>
      <t>®</t>
    </r>
    <r>
      <rPr>
        <b/>
        <sz val="20"/>
        <rFont val="Calibri"/>
        <family val="2"/>
        <scheme val="minor"/>
      </rPr>
      <t xml:space="preserve"> Essential DRI Calculator</t>
    </r>
    <r>
      <rPr>
        <sz val="14"/>
        <rFont val="Calibri"/>
        <family val="2"/>
        <scheme val="minor"/>
      </rPr>
      <t xml:space="preserve">
For Healthcare Professionals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</si>
</sst>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rial Rounded MT Bold"/>
      <family val="2"/>
    </font>
    <font>
      <sz val="12"/>
      <color indexed="8"/>
      <name val="Arial Rounded MT Bold"/>
      <family val="2"/>
    </font>
    <font>
      <sz val="14"/>
      <color theme="1"/>
      <name val="Calibri"/>
      <family val="2"/>
      <scheme val="minor"/>
    </font>
    <font>
      <i/>
      <u/>
      <sz val="14"/>
      <color theme="1"/>
      <name val="Arial Rounded MT Bold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color indexed="36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indexed="17"/>
      <name val="Arial"/>
      <family val="2"/>
    </font>
    <font>
      <sz val="16"/>
      <color theme="1"/>
      <name val="Arial Rounded MT Bold"/>
      <family val="2"/>
    </font>
    <font>
      <vertAlign val="superscript"/>
      <sz val="16"/>
      <color indexed="8"/>
      <name val="Arial Rounded MT Bold"/>
      <family val="2"/>
    </font>
    <font>
      <sz val="16"/>
      <color indexed="8"/>
      <name val="Arial Rounded MT Bold"/>
      <family val="2"/>
    </font>
    <font>
      <sz val="8.5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000000"/>
      <name val="Arial Rounded MT Bold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8" tint="0.59999389629810485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2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/>
    <xf numFmtId="0" fontId="0" fillId="13" borderId="55" xfId="0" applyFill="1" applyBorder="1"/>
    <xf numFmtId="0" fontId="0" fillId="13" borderId="56" xfId="0" applyFill="1" applyBorder="1"/>
    <xf numFmtId="0" fontId="0" fillId="13" borderId="58" xfId="0" applyFill="1" applyBorder="1"/>
    <xf numFmtId="0" fontId="0" fillId="13" borderId="0" xfId="0" applyFill="1"/>
    <xf numFmtId="0" fontId="0" fillId="13" borderId="60" xfId="0" applyFill="1" applyBorder="1"/>
    <xf numFmtId="0" fontId="0" fillId="0" borderId="58" xfId="0" applyBorder="1"/>
    <xf numFmtId="0" fontId="0" fillId="0" borderId="60" xfId="0" applyBorder="1"/>
    <xf numFmtId="0" fontId="0" fillId="13" borderId="61" xfId="0" applyFill="1" applyBorder="1"/>
    <xf numFmtId="0" fontId="0" fillId="13" borderId="62" xfId="0" applyFill="1" applyBorder="1"/>
    <xf numFmtId="0" fontId="0" fillId="13" borderId="63" xfId="0" applyFill="1" applyBorder="1"/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>
      <alignment horizontal="center" vertical="center" wrapText="1"/>
    </xf>
    <xf numFmtId="164" fontId="25" fillId="3" borderId="8" xfId="0" applyNumberFormat="1" applyFont="1" applyFill="1" applyBorder="1" applyAlignment="1" applyProtection="1">
      <alignment horizontal="center" vertical="center"/>
      <protection locked="0"/>
    </xf>
    <xf numFmtId="0" fontId="23" fillId="18" borderId="8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8" fillId="8" borderId="67" xfId="0" applyFont="1" applyFill="1" applyBorder="1" applyAlignment="1">
      <alignment horizontal="left"/>
    </xf>
    <xf numFmtId="164" fontId="29" fillId="8" borderId="68" xfId="0" applyNumberFormat="1" applyFont="1" applyFill="1" applyBorder="1"/>
    <xf numFmtId="0" fontId="30" fillId="8" borderId="68" xfId="0" applyFont="1" applyFill="1" applyBorder="1"/>
    <xf numFmtId="9" fontId="29" fillId="8" borderId="68" xfId="0" applyNumberFormat="1" applyFont="1" applyFill="1" applyBorder="1"/>
    <xf numFmtId="9" fontId="29" fillId="8" borderId="61" xfId="0" applyNumberFormat="1" applyFont="1" applyFill="1" applyBorder="1"/>
    <xf numFmtId="9" fontId="29" fillId="8" borderId="14" xfId="0" applyNumberFormat="1" applyFont="1" applyFill="1" applyBorder="1"/>
    <xf numFmtId="0" fontId="28" fillId="10" borderId="27" xfId="0" applyFont="1" applyFill="1" applyBorder="1" applyAlignment="1">
      <alignment horizontal="left"/>
    </xf>
    <xf numFmtId="164" fontId="29" fillId="10" borderId="19" xfId="0" applyNumberFormat="1" applyFont="1" applyFill="1" applyBorder="1"/>
    <xf numFmtId="0" fontId="30" fillId="10" borderId="19" xfId="0" applyFont="1" applyFill="1" applyBorder="1"/>
    <xf numFmtId="9" fontId="29" fillId="10" borderId="19" xfId="0" applyNumberFormat="1" applyFont="1" applyFill="1" applyBorder="1"/>
    <xf numFmtId="9" fontId="29" fillId="10" borderId="36" xfId="0" applyNumberFormat="1" applyFont="1" applyFill="1" applyBorder="1"/>
    <xf numFmtId="9" fontId="29" fillId="10" borderId="20" xfId="0" applyNumberFormat="1" applyFont="1" applyFill="1" applyBorder="1"/>
    <xf numFmtId="0" fontId="28" fillId="8" borderId="70" xfId="0" applyFont="1" applyFill="1" applyBorder="1" applyAlignment="1">
      <alignment horizontal="left"/>
    </xf>
    <xf numFmtId="164" fontId="29" fillId="8" borderId="71" xfId="0" applyNumberFormat="1" applyFont="1" applyFill="1" applyBorder="1"/>
    <xf numFmtId="0" fontId="30" fillId="8" borderId="71" xfId="0" applyFont="1" applyFill="1" applyBorder="1"/>
    <xf numFmtId="9" fontId="29" fillId="8" borderId="71" xfId="0" applyNumberFormat="1" applyFont="1" applyFill="1" applyBorder="1"/>
    <xf numFmtId="0" fontId="31" fillId="8" borderId="71" xfId="0" applyFont="1" applyFill="1" applyBorder="1"/>
    <xf numFmtId="9" fontId="29" fillId="10" borderId="74" xfId="0" applyNumberFormat="1" applyFont="1" applyFill="1" applyBorder="1"/>
    <xf numFmtId="0" fontId="28" fillId="8" borderId="27" xfId="0" applyFont="1" applyFill="1" applyBorder="1" applyAlignment="1">
      <alignment horizontal="left"/>
    </xf>
    <xf numFmtId="164" fontId="29" fillId="8" borderId="19" xfId="0" applyNumberFormat="1" applyFont="1" applyFill="1" applyBorder="1"/>
    <xf numFmtId="0" fontId="30" fillId="8" borderId="19" xfId="0" applyFont="1" applyFill="1" applyBorder="1"/>
    <xf numFmtId="9" fontId="29" fillId="8" borderId="19" xfId="0" applyNumberFormat="1" applyFont="1" applyFill="1" applyBorder="1"/>
    <xf numFmtId="9" fontId="29" fillId="8" borderId="74" xfId="0" applyNumberFormat="1" applyFont="1" applyFill="1" applyBorder="1"/>
    <xf numFmtId="9" fontId="29" fillId="8" borderId="20" xfId="0" applyNumberFormat="1" applyFont="1" applyFill="1" applyBorder="1"/>
    <xf numFmtId="164" fontId="29" fillId="0" borderId="19" xfId="0" applyNumberFormat="1" applyFont="1" applyBorder="1"/>
    <xf numFmtId="0" fontId="30" fillId="0" borderId="19" xfId="0" applyFont="1" applyBorder="1"/>
    <xf numFmtId="9" fontId="29" fillId="0" borderId="19" xfId="0" applyNumberFormat="1" applyFont="1" applyBorder="1"/>
    <xf numFmtId="9" fontId="29" fillId="0" borderId="74" xfId="0" applyNumberFormat="1" applyFont="1" applyBorder="1"/>
    <xf numFmtId="9" fontId="29" fillId="0" borderId="20" xfId="0" applyNumberFormat="1" applyFont="1" applyBorder="1"/>
    <xf numFmtId="0" fontId="28" fillId="12" borderId="27" xfId="0" applyFont="1" applyFill="1" applyBorder="1" applyAlignment="1">
      <alignment horizontal="left"/>
    </xf>
    <xf numFmtId="164" fontId="29" fillId="12" borderId="19" xfId="0" applyNumberFormat="1" applyFont="1" applyFill="1" applyBorder="1"/>
    <xf numFmtId="0" fontId="30" fillId="12" borderId="19" xfId="0" applyFont="1" applyFill="1" applyBorder="1"/>
    <xf numFmtId="9" fontId="29" fillId="12" borderId="19" xfId="0" applyNumberFormat="1" applyFont="1" applyFill="1" applyBorder="1"/>
    <xf numFmtId="9" fontId="29" fillId="12" borderId="74" xfId="0" applyNumberFormat="1" applyFont="1" applyFill="1" applyBorder="1"/>
    <xf numFmtId="9" fontId="29" fillId="12" borderId="20" xfId="0" applyNumberFormat="1" applyFont="1" applyFill="1" applyBorder="1"/>
    <xf numFmtId="164" fontId="29" fillId="20" borderId="19" xfId="0" applyNumberFormat="1" applyFont="1" applyFill="1" applyBorder="1"/>
    <xf numFmtId="0" fontId="30" fillId="20" borderId="19" xfId="0" applyFont="1" applyFill="1" applyBorder="1"/>
    <xf numFmtId="9" fontId="29" fillId="20" borderId="19" xfId="0" applyNumberFormat="1" applyFont="1" applyFill="1" applyBorder="1"/>
    <xf numFmtId="9" fontId="29" fillId="20" borderId="74" xfId="0" applyNumberFormat="1" applyFont="1" applyFill="1" applyBorder="1"/>
    <xf numFmtId="9" fontId="29" fillId="20" borderId="20" xfId="0" applyNumberFormat="1" applyFont="1" applyFill="1" applyBorder="1"/>
    <xf numFmtId="1" fontId="29" fillId="12" borderId="25" xfId="0" applyNumberFormat="1" applyFont="1" applyFill="1" applyBorder="1"/>
    <xf numFmtId="0" fontId="30" fillId="12" borderId="25" xfId="0" applyFont="1" applyFill="1" applyBorder="1"/>
    <xf numFmtId="9" fontId="29" fillId="12" borderId="25" xfId="0" applyNumberFormat="1" applyFont="1" applyFill="1" applyBorder="1"/>
    <xf numFmtId="9" fontId="29" fillId="12" borderId="55" xfId="0" applyNumberFormat="1" applyFont="1" applyFill="1" applyBorder="1"/>
    <xf numFmtId="0" fontId="28" fillId="19" borderId="19" xfId="0" applyFont="1" applyFill="1" applyBorder="1" applyAlignment="1">
      <alignment horizontal="left"/>
    </xf>
    <xf numFmtId="164" fontId="29" fillId="19" borderId="19" xfId="0" applyNumberFormat="1" applyFont="1" applyFill="1" applyBorder="1"/>
    <xf numFmtId="0" fontId="30" fillId="19" borderId="19" xfId="0" applyFont="1" applyFill="1" applyBorder="1"/>
    <xf numFmtId="9" fontId="29" fillId="19" borderId="19" xfId="0" applyNumberFormat="1" applyFont="1" applyFill="1" applyBorder="1"/>
    <xf numFmtId="9" fontId="29" fillId="19" borderId="20" xfId="0" applyNumberFormat="1" applyFont="1" applyFill="1" applyBorder="1"/>
    <xf numFmtId="164" fontId="29" fillId="13" borderId="25" xfId="0" applyNumberFormat="1" applyFont="1" applyFill="1" applyBorder="1"/>
    <xf numFmtId="0" fontId="30" fillId="13" borderId="25" xfId="0" applyFont="1" applyFill="1" applyBorder="1"/>
    <xf numFmtId="9" fontId="29" fillId="13" borderId="25" xfId="0" applyNumberFormat="1" applyFont="1" applyFill="1" applyBorder="1"/>
    <xf numFmtId="9" fontId="29" fillId="13" borderId="55" xfId="0" applyNumberFormat="1" applyFont="1" applyFill="1" applyBorder="1"/>
    <xf numFmtId="9" fontId="29" fillId="13" borderId="30" xfId="0" applyNumberFormat="1" applyFont="1" applyFill="1" applyBorder="1"/>
    <xf numFmtId="0" fontId="23" fillId="18" borderId="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9" fontId="29" fillId="8" borderId="62" xfId="0" applyNumberFormat="1" applyFont="1" applyFill="1" applyBorder="1"/>
    <xf numFmtId="2" fontId="29" fillId="8" borderId="19" xfId="0" applyNumberFormat="1" applyFont="1" applyFill="1" applyBorder="1"/>
    <xf numFmtId="2" fontId="29" fillId="10" borderId="19" xfId="0" applyNumberFormat="1" applyFont="1" applyFill="1" applyBorder="1"/>
    <xf numFmtId="0" fontId="28" fillId="8" borderId="72" xfId="0" applyFont="1" applyFill="1" applyBorder="1" applyAlignment="1">
      <alignment horizontal="left"/>
    </xf>
    <xf numFmtId="164" fontId="29" fillId="8" borderId="56" xfId="0" applyNumberFormat="1" applyFont="1" applyFill="1" applyBorder="1"/>
    <xf numFmtId="0" fontId="30" fillId="8" borderId="25" xfId="0" applyFont="1" applyFill="1" applyBorder="1" applyAlignment="1">
      <alignment horizontal="right"/>
    </xf>
    <xf numFmtId="0" fontId="29" fillId="8" borderId="25" xfId="0" applyFont="1" applyFill="1" applyBorder="1"/>
    <xf numFmtId="0" fontId="29" fillId="8" borderId="55" xfId="0" applyFont="1" applyFill="1" applyBorder="1"/>
    <xf numFmtId="0" fontId="29" fillId="8" borderId="30" xfId="0" applyFont="1" applyFill="1" applyBorder="1"/>
    <xf numFmtId="164" fontId="29" fillId="9" borderId="68" xfId="0" applyNumberFormat="1" applyFont="1" applyFill="1" applyBorder="1"/>
    <xf numFmtId="0" fontId="30" fillId="9" borderId="68" xfId="0" applyFont="1" applyFill="1" applyBorder="1"/>
    <xf numFmtId="9" fontId="29" fillId="9" borderId="68" xfId="0" applyNumberFormat="1" applyFont="1" applyFill="1" applyBorder="1"/>
    <xf numFmtId="9" fontId="29" fillId="9" borderId="62" xfId="0" applyNumberFormat="1" applyFont="1" applyFill="1" applyBorder="1"/>
    <xf numFmtId="9" fontId="29" fillId="9" borderId="14" xfId="0" applyNumberFormat="1" applyFont="1" applyFill="1" applyBorder="1"/>
    <xf numFmtId="164" fontId="29" fillId="9" borderId="19" xfId="0" applyNumberFormat="1" applyFont="1" applyFill="1" applyBorder="1"/>
    <xf numFmtId="0" fontId="30" fillId="9" borderId="19" xfId="0" applyFont="1" applyFill="1" applyBorder="1"/>
    <xf numFmtId="9" fontId="29" fillId="9" borderId="19" xfId="0" applyNumberFormat="1" applyFont="1" applyFill="1" applyBorder="1"/>
    <xf numFmtId="9" fontId="29" fillId="9" borderId="74" xfId="0" applyNumberFormat="1" applyFont="1" applyFill="1" applyBorder="1"/>
    <xf numFmtId="9" fontId="29" fillId="9" borderId="20" xfId="0" applyNumberFormat="1" applyFont="1" applyFill="1" applyBorder="1"/>
    <xf numFmtId="0" fontId="31" fillId="0" borderId="19" xfId="0" applyFont="1" applyBorder="1"/>
    <xf numFmtId="0" fontId="31" fillId="9" borderId="19" xfId="0" applyFont="1" applyFill="1" applyBorder="1"/>
    <xf numFmtId="2" fontId="29" fillId="0" borderId="19" xfId="0" applyNumberFormat="1" applyFont="1" applyBorder="1"/>
    <xf numFmtId="0" fontId="30" fillId="0" borderId="19" xfId="0" applyFont="1" applyBorder="1" applyAlignment="1">
      <alignment horizontal="right"/>
    </xf>
    <xf numFmtId="0" fontId="30" fillId="9" borderId="19" xfId="0" applyFont="1" applyFill="1" applyBorder="1" applyAlignment="1">
      <alignment horizontal="right"/>
    </xf>
    <xf numFmtId="0" fontId="28" fillId="10" borderId="28" xfId="0" applyFont="1" applyFill="1" applyBorder="1" applyAlignment="1">
      <alignment horizontal="left"/>
    </xf>
    <xf numFmtId="164" fontId="29" fillId="0" borderId="29" xfId="0" applyNumberFormat="1" applyFont="1" applyBorder="1"/>
    <xf numFmtId="0" fontId="30" fillId="0" borderId="29" xfId="0" applyFont="1" applyBorder="1" applyAlignment="1">
      <alignment horizontal="right"/>
    </xf>
    <xf numFmtId="9" fontId="29" fillId="0" borderId="29" xfId="0" applyNumberFormat="1" applyFont="1" applyBorder="1"/>
    <xf numFmtId="9" fontId="29" fillId="0" borderId="75" xfId="0" applyNumberFormat="1" applyFont="1" applyBorder="1"/>
    <xf numFmtId="9" fontId="29" fillId="0" borderId="30" xfId="0" applyNumberFormat="1" applyFont="1" applyBorder="1"/>
    <xf numFmtId="9" fontId="29" fillId="8" borderId="69" xfId="0" applyNumberFormat="1" applyFont="1" applyFill="1" applyBorder="1"/>
    <xf numFmtId="0" fontId="28" fillId="0" borderId="67" xfId="0" applyFont="1" applyBorder="1" applyAlignment="1">
      <alignment horizontal="left"/>
    </xf>
    <xf numFmtId="164" fontId="29" fillId="0" borderId="68" xfId="0" applyNumberFormat="1" applyFont="1" applyBorder="1"/>
    <xf numFmtId="0" fontId="30" fillId="0" borderId="68" xfId="0" applyFont="1" applyBorder="1"/>
    <xf numFmtId="9" fontId="29" fillId="0" borderId="68" xfId="0" applyNumberFormat="1" applyFont="1" applyBorder="1"/>
    <xf numFmtId="9" fontId="29" fillId="0" borderId="61" xfId="0" applyNumberFormat="1" applyFont="1" applyBorder="1"/>
    <xf numFmtId="9" fontId="29" fillId="0" borderId="14" xfId="0" applyNumberFormat="1" applyFont="1" applyBorder="1"/>
    <xf numFmtId="0" fontId="29" fillId="8" borderId="27" xfId="0" applyFont="1" applyFill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12" borderId="27" xfId="0" applyFont="1" applyFill="1" applyBorder="1" applyAlignment="1">
      <alignment horizontal="left"/>
    </xf>
    <xf numFmtId="0" fontId="29" fillId="20" borderId="27" xfId="0" applyFont="1" applyFill="1" applyBorder="1" applyAlignment="1">
      <alignment horizontal="left"/>
    </xf>
    <xf numFmtId="0" fontId="29" fillId="12" borderId="72" xfId="0" applyFont="1" applyFill="1" applyBorder="1" applyAlignment="1">
      <alignment horizontal="left"/>
    </xf>
    <xf numFmtId="0" fontId="29" fillId="13" borderId="72" xfId="0" applyFont="1" applyFill="1" applyBorder="1" applyAlignment="1">
      <alignment horizontal="left"/>
    </xf>
    <xf numFmtId="164" fontId="30" fillId="8" borderId="68" xfId="0" applyNumberFormat="1" applyFont="1" applyFill="1" applyBorder="1"/>
    <xf numFmtId="164" fontId="30" fillId="10" borderId="19" xfId="0" applyNumberFormat="1" applyFont="1" applyFill="1" applyBorder="1"/>
    <xf numFmtId="164" fontId="30" fillId="8" borderId="19" xfId="0" applyNumberFormat="1" applyFont="1" applyFill="1" applyBorder="1"/>
    <xf numFmtId="164" fontId="30" fillId="8" borderId="25" xfId="0" applyNumberFormat="1" applyFont="1" applyFill="1" applyBorder="1"/>
    <xf numFmtId="164" fontId="30" fillId="0" borderId="68" xfId="0" applyNumberFormat="1" applyFont="1" applyBorder="1"/>
    <xf numFmtId="164" fontId="31" fillId="8" borderId="19" xfId="0" applyNumberFormat="1" applyFont="1" applyFill="1" applyBorder="1"/>
    <xf numFmtId="164" fontId="30" fillId="0" borderId="19" xfId="0" applyNumberFormat="1" applyFont="1" applyBorder="1"/>
    <xf numFmtId="164" fontId="30" fillId="12" borderId="19" xfId="0" applyNumberFormat="1" applyFont="1" applyFill="1" applyBorder="1"/>
    <xf numFmtId="164" fontId="30" fillId="20" borderId="19" xfId="0" applyNumberFormat="1" applyFont="1" applyFill="1" applyBorder="1"/>
    <xf numFmtId="9" fontId="29" fillId="8" borderId="0" xfId="0" applyNumberFormat="1" applyFont="1" applyFill="1"/>
    <xf numFmtId="1" fontId="31" fillId="19" borderId="19" xfId="0" applyNumberFormat="1" applyFont="1" applyFill="1" applyBorder="1"/>
    <xf numFmtId="1" fontId="30" fillId="12" borderId="19" xfId="0" applyNumberFormat="1" applyFont="1" applyFill="1" applyBorder="1"/>
    <xf numFmtId="1" fontId="31" fillId="8" borderId="19" xfId="0" applyNumberFormat="1" applyFont="1" applyFill="1" applyBorder="1"/>
    <xf numFmtId="1" fontId="31" fillId="8" borderId="68" xfId="0" applyNumberFormat="1" applyFont="1" applyFill="1" applyBorder="1"/>
    <xf numFmtId="164" fontId="31" fillId="10" borderId="19" xfId="0" applyNumberFormat="1" applyFont="1" applyFill="1" applyBorder="1"/>
    <xf numFmtId="1" fontId="31" fillId="10" borderId="19" xfId="0" applyNumberFormat="1" applyFont="1" applyFill="1" applyBorder="1"/>
    <xf numFmtId="1" fontId="30" fillId="10" borderId="19" xfId="0" applyNumberFormat="1" applyFont="1" applyFill="1" applyBorder="1"/>
    <xf numFmtId="1" fontId="30" fillId="8" borderId="19" xfId="0" applyNumberFormat="1" applyFont="1" applyFill="1" applyBorder="1"/>
    <xf numFmtId="1" fontId="30" fillId="0" borderId="19" xfId="0" applyNumberFormat="1" applyFont="1" applyBorder="1"/>
    <xf numFmtId="1" fontId="30" fillId="9" borderId="19" xfId="0" applyNumberFormat="1" applyFont="1" applyFill="1" applyBorder="1"/>
    <xf numFmtId="1" fontId="31" fillId="0" borderId="19" xfId="0" applyNumberFormat="1" applyFont="1" applyBorder="1"/>
    <xf numFmtId="1" fontId="31" fillId="9" borderId="19" xfId="0" applyNumberFormat="1" applyFont="1" applyFill="1" applyBorder="1"/>
    <xf numFmtId="1" fontId="30" fillId="0" borderId="29" xfId="0" applyNumberFormat="1" applyFont="1" applyBorder="1"/>
    <xf numFmtId="1" fontId="31" fillId="9" borderId="68" xfId="0" applyNumberFormat="1" applyFont="1" applyFill="1" applyBorder="1"/>
    <xf numFmtId="0" fontId="23" fillId="4" borderId="4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9" xfId="0" applyBorder="1"/>
    <xf numFmtId="9" fontId="0" fillId="11" borderId="25" xfId="0" applyNumberFormat="1" applyFill="1" applyBorder="1"/>
    <xf numFmtId="0" fontId="0" fillId="0" borderId="14" xfId="0" applyBorder="1"/>
    <xf numFmtId="0" fontId="0" fillId="0" borderId="20" xfId="0" applyBorder="1"/>
    <xf numFmtId="1" fontId="30" fillId="13" borderId="25" xfId="0" applyNumberFormat="1" applyFont="1" applyFill="1" applyBorder="1"/>
    <xf numFmtId="0" fontId="0" fillId="11" borderId="25" xfId="0" applyFill="1" applyBorder="1"/>
    <xf numFmtId="0" fontId="15" fillId="0" borderId="13" xfId="0" applyFont="1" applyBorder="1"/>
    <xf numFmtId="0" fontId="15" fillId="0" borderId="19" xfId="0" applyFont="1" applyBorder="1"/>
    <xf numFmtId="0" fontId="15" fillId="11" borderId="25" xfId="0" applyFont="1" applyFill="1" applyBorder="1"/>
    <xf numFmtId="0" fontId="15" fillId="11" borderId="19" xfId="0" applyFont="1" applyFill="1" applyBorder="1"/>
    <xf numFmtId="9" fontId="0" fillId="0" borderId="19" xfId="0" applyNumberFormat="1" applyBorder="1"/>
    <xf numFmtId="9" fontId="0" fillId="9" borderId="19" xfId="0" applyNumberFormat="1" applyFill="1" applyBorder="1"/>
    <xf numFmtId="0" fontId="0" fillId="9" borderId="29" xfId="0" applyFill="1" applyBorder="1"/>
    <xf numFmtId="9" fontId="0" fillId="0" borderId="20" xfId="0" applyNumberFormat="1" applyBorder="1"/>
    <xf numFmtId="9" fontId="0" fillId="9" borderId="20" xfId="0" applyNumberFormat="1" applyFill="1" applyBorder="1"/>
    <xf numFmtId="0" fontId="0" fillId="9" borderId="30" xfId="0" applyFill="1" applyBorder="1"/>
    <xf numFmtId="0" fontId="30" fillId="0" borderId="11" xfId="0" applyFont="1" applyBorder="1"/>
    <xf numFmtId="10" fontId="29" fillId="0" borderId="11" xfId="0" applyNumberFormat="1" applyFont="1" applyBorder="1"/>
    <xf numFmtId="9" fontId="29" fillId="0" borderId="12" xfId="0" applyNumberFormat="1" applyFont="1" applyBorder="1"/>
    <xf numFmtId="0" fontId="28" fillId="10" borderId="15" xfId="0" applyFont="1" applyFill="1" applyBorder="1" applyAlignment="1">
      <alignment horizontal="left"/>
    </xf>
    <xf numFmtId="164" fontId="29" fillId="10" borderId="16" xfId="0" applyNumberFormat="1" applyFont="1" applyFill="1" applyBorder="1"/>
    <xf numFmtId="0" fontId="30" fillId="10" borderId="17" xfId="0" applyFont="1" applyFill="1" applyBorder="1"/>
    <xf numFmtId="10" fontId="29" fillId="10" borderId="17" xfId="0" applyNumberFormat="1" applyFont="1" applyFill="1" applyBorder="1"/>
    <xf numFmtId="9" fontId="29" fillId="10" borderId="18" xfId="0" applyNumberFormat="1" applyFont="1" applyFill="1" applyBorder="1"/>
    <xf numFmtId="0" fontId="28" fillId="8" borderId="15" xfId="0" applyFont="1" applyFill="1" applyBorder="1" applyAlignment="1">
      <alignment horizontal="left"/>
    </xf>
    <xf numFmtId="164" fontId="29" fillId="8" borderId="16" xfId="0" applyNumberFormat="1" applyFont="1" applyFill="1" applyBorder="1"/>
    <xf numFmtId="0" fontId="31" fillId="8" borderId="17" xfId="0" applyFont="1" applyFill="1" applyBorder="1"/>
    <xf numFmtId="9" fontId="29" fillId="8" borderId="17" xfId="0" applyNumberFormat="1" applyFont="1" applyFill="1" applyBorder="1"/>
    <xf numFmtId="9" fontId="29" fillId="8" borderId="18" xfId="0" applyNumberFormat="1" applyFont="1" applyFill="1" applyBorder="1"/>
    <xf numFmtId="0" fontId="36" fillId="9" borderId="19" xfId="0" applyFont="1" applyFill="1" applyBorder="1"/>
    <xf numFmtId="9" fontId="13" fillId="9" borderId="19" xfId="0" applyNumberFormat="1" applyFont="1" applyFill="1" applyBorder="1"/>
    <xf numFmtId="9" fontId="13" fillId="9" borderId="20" xfId="0" applyNumberFormat="1" applyFont="1" applyFill="1" applyBorder="1"/>
    <xf numFmtId="0" fontId="28" fillId="10" borderId="21" xfId="0" applyFont="1" applyFill="1" applyBorder="1" applyAlignment="1">
      <alignment horizontal="left"/>
    </xf>
    <xf numFmtId="164" fontId="29" fillId="10" borderId="22" xfId="0" applyNumberFormat="1" applyFont="1" applyFill="1" applyBorder="1"/>
    <xf numFmtId="0" fontId="30" fillId="10" borderId="23" xfId="0" applyFont="1" applyFill="1" applyBorder="1"/>
    <xf numFmtId="9" fontId="29" fillId="10" borderId="23" xfId="0" applyNumberFormat="1" applyFont="1" applyFill="1" applyBorder="1"/>
    <xf numFmtId="9" fontId="29" fillId="10" borderId="24" xfId="0" applyNumberFormat="1" applyFont="1" applyFill="1" applyBorder="1"/>
    <xf numFmtId="9" fontId="13" fillId="11" borderId="26" xfId="0" applyNumberFormat="1" applyFont="1" applyFill="1" applyBorder="1"/>
    <xf numFmtId="0" fontId="31" fillId="8" borderId="19" xfId="0" applyFont="1" applyFill="1" applyBorder="1"/>
    <xf numFmtId="0" fontId="8" fillId="13" borderId="19" xfId="0" applyFont="1" applyFill="1" applyBorder="1"/>
    <xf numFmtId="9" fontId="13" fillId="13" borderId="19" xfId="0" applyNumberFormat="1" applyFont="1" applyFill="1" applyBorder="1"/>
    <xf numFmtId="9" fontId="13" fillId="13" borderId="20" xfId="0" applyNumberFormat="1" applyFont="1" applyFill="1" applyBorder="1"/>
    <xf numFmtId="0" fontId="28" fillId="8" borderId="31" xfId="0" applyFont="1" applyFill="1" applyBorder="1" applyAlignment="1">
      <alignment horizontal="left"/>
    </xf>
    <xf numFmtId="9" fontId="29" fillId="8" borderId="33" xfId="0" applyNumberFormat="1" applyFont="1" applyFill="1" applyBorder="1"/>
    <xf numFmtId="9" fontId="29" fillId="8" borderId="34" xfId="0" applyNumberFormat="1" applyFont="1" applyFill="1" applyBorder="1"/>
    <xf numFmtId="9" fontId="13" fillId="9" borderId="13" xfId="0" applyNumberFormat="1" applyFont="1" applyFill="1" applyBorder="1"/>
    <xf numFmtId="9" fontId="13" fillId="9" borderId="14" xfId="0" applyNumberFormat="1" applyFont="1" applyFill="1" applyBorder="1"/>
    <xf numFmtId="9" fontId="29" fillId="10" borderId="17" xfId="0" applyNumberFormat="1" applyFont="1" applyFill="1" applyBorder="1"/>
    <xf numFmtId="2" fontId="29" fillId="8" borderId="16" xfId="0" applyNumberFormat="1" applyFont="1" applyFill="1" applyBorder="1"/>
    <xf numFmtId="2" fontId="29" fillId="10" borderId="16" xfId="0" applyNumberFormat="1" applyFont="1" applyFill="1" applyBorder="1"/>
    <xf numFmtId="9" fontId="13" fillId="0" borderId="19" xfId="0" applyNumberFormat="1" applyFont="1" applyBorder="1"/>
    <xf numFmtId="9" fontId="13" fillId="0" borderId="20" xfId="0" applyNumberFormat="1" applyFont="1" applyBorder="1"/>
    <xf numFmtId="0" fontId="28" fillId="8" borderId="21" xfId="0" applyFont="1" applyFill="1" applyBorder="1" applyAlignment="1">
      <alignment horizontal="left"/>
    </xf>
    <xf numFmtId="164" fontId="29" fillId="8" borderId="24" xfId="0" applyNumberFormat="1" applyFont="1" applyFill="1" applyBorder="1"/>
    <xf numFmtId="9" fontId="29" fillId="8" borderId="25" xfId="0" applyNumberFormat="1" applyFont="1" applyFill="1" applyBorder="1" applyAlignment="1">
      <alignment horizontal="right"/>
    </xf>
    <xf numFmtId="9" fontId="29" fillId="8" borderId="35" xfId="0" applyNumberFormat="1" applyFont="1" applyFill="1" applyBorder="1" applyAlignment="1">
      <alignment horizontal="right"/>
    </xf>
    <xf numFmtId="9" fontId="0" fillId="9" borderId="13" xfId="0" applyNumberFormat="1" applyFill="1" applyBorder="1"/>
    <xf numFmtId="9" fontId="0" fillId="9" borderId="14" xfId="0" applyNumberFormat="1" applyFill="1" applyBorder="1"/>
    <xf numFmtId="9" fontId="0" fillId="0" borderId="29" xfId="0" applyNumberFormat="1" applyBorder="1"/>
    <xf numFmtId="9" fontId="0" fillId="0" borderId="30" xfId="0" applyNumberFormat="1" applyBorder="1"/>
    <xf numFmtId="9" fontId="29" fillId="10" borderId="19" xfId="0" applyNumberFormat="1" applyFont="1" applyFill="1" applyBorder="1" applyAlignment="1">
      <alignment horizontal="right"/>
    </xf>
    <xf numFmtId="9" fontId="29" fillId="10" borderId="36" xfId="0" applyNumberFormat="1" applyFont="1" applyFill="1" applyBorder="1" applyAlignment="1">
      <alignment horizontal="right"/>
    </xf>
    <xf numFmtId="0" fontId="28" fillId="10" borderId="37" xfId="0" applyFont="1" applyFill="1" applyBorder="1" applyAlignment="1">
      <alignment horizontal="left"/>
    </xf>
    <xf numFmtId="9" fontId="29" fillId="10" borderId="29" xfId="0" applyNumberFormat="1" applyFont="1" applyFill="1" applyBorder="1" applyAlignment="1">
      <alignment horizontal="right"/>
    </xf>
    <xf numFmtId="9" fontId="29" fillId="10" borderId="40" xfId="0" applyNumberFormat="1" applyFont="1" applyFill="1" applyBorder="1" applyAlignment="1">
      <alignment horizontal="right"/>
    </xf>
    <xf numFmtId="0" fontId="31" fillId="8" borderId="33" xfId="0" applyFont="1" applyFill="1" applyBorder="1"/>
    <xf numFmtId="0" fontId="31" fillId="10" borderId="17" xfId="0" applyFont="1" applyFill="1" applyBorder="1"/>
    <xf numFmtId="0" fontId="30" fillId="8" borderId="17" xfId="0" applyFont="1" applyFill="1" applyBorder="1"/>
    <xf numFmtId="1" fontId="36" fillId="9" borderId="13" xfId="0" applyNumberFormat="1" applyFont="1" applyFill="1" applyBorder="1"/>
    <xf numFmtId="1" fontId="40" fillId="0" borderId="19" xfId="0" applyNumberFormat="1" applyFont="1" applyBorder="1"/>
    <xf numFmtId="1" fontId="36" fillId="9" borderId="19" xfId="0" applyNumberFormat="1" applyFont="1" applyFill="1" applyBorder="1"/>
    <xf numFmtId="1" fontId="15" fillId="0" borderId="19" xfId="0" applyNumberFormat="1" applyFont="1" applyBorder="1"/>
    <xf numFmtId="164" fontId="36" fillId="9" borderId="19" xfId="0" applyNumberFormat="1" applyFont="1" applyFill="1" applyBorder="1"/>
    <xf numFmtId="164" fontId="36" fillId="0" borderId="19" xfId="0" applyNumberFormat="1" applyFont="1" applyBorder="1"/>
    <xf numFmtId="1" fontId="36" fillId="0" borderId="19" xfId="0" applyNumberFormat="1" applyFont="1" applyBorder="1"/>
    <xf numFmtId="1" fontId="15" fillId="9" borderId="19" xfId="0" applyNumberFormat="1" applyFont="1" applyFill="1" applyBorder="1"/>
    <xf numFmtId="164" fontId="15" fillId="9" borderId="29" xfId="0" applyNumberFormat="1" applyFont="1" applyFill="1" applyBorder="1" applyAlignment="1">
      <alignment horizontal="right"/>
    </xf>
    <xf numFmtId="0" fontId="30" fillId="8" borderId="29" xfId="0" applyFont="1" applyFill="1" applyBorder="1" applyAlignment="1">
      <alignment horizontal="right"/>
    </xf>
    <xf numFmtId="9" fontId="29" fillId="8" borderId="29" xfId="0" applyNumberFormat="1" applyFont="1" applyFill="1" applyBorder="1" applyAlignment="1">
      <alignment horizontal="right"/>
    </xf>
    <xf numFmtId="9" fontId="29" fillId="8" borderId="40" xfId="0" applyNumberFormat="1" applyFont="1" applyFill="1" applyBorder="1" applyAlignment="1">
      <alignment horizontal="right"/>
    </xf>
    <xf numFmtId="9" fontId="29" fillId="8" borderId="23" xfId="0" applyNumberFormat="1" applyFont="1" applyFill="1" applyBorder="1"/>
    <xf numFmtId="9" fontId="29" fillId="8" borderId="24" xfId="0" applyNumberFormat="1" applyFont="1" applyFill="1" applyBorder="1"/>
    <xf numFmtId="0" fontId="31" fillId="8" borderId="23" xfId="0" applyFont="1" applyFill="1" applyBorder="1"/>
    <xf numFmtId="0" fontId="30" fillId="10" borderId="17" xfId="0" applyFont="1" applyFill="1" applyBorder="1" applyAlignment="1">
      <alignment horizontal="right"/>
    </xf>
    <xf numFmtId="0" fontId="30" fillId="8" borderId="23" xfId="0" applyFont="1" applyFill="1" applyBorder="1" applyAlignment="1">
      <alignment horizontal="right"/>
    </xf>
    <xf numFmtId="0" fontId="30" fillId="10" borderId="39" xfId="0" applyFont="1" applyFill="1" applyBorder="1" applyAlignment="1">
      <alignment horizontal="right"/>
    </xf>
    <xf numFmtId="1" fontId="40" fillId="9" borderId="13" xfId="0" applyNumberFormat="1" applyFont="1" applyFill="1" applyBorder="1"/>
    <xf numFmtId="164" fontId="15" fillId="0" borderId="19" xfId="0" applyNumberFormat="1" applyFont="1" applyBorder="1"/>
    <xf numFmtId="1" fontId="15" fillId="0" borderId="29" xfId="0" applyNumberFormat="1" applyFont="1" applyBorder="1"/>
    <xf numFmtId="1" fontId="29" fillId="8" borderId="32" xfId="0" applyNumberFormat="1" applyFont="1" applyFill="1" applyBorder="1"/>
    <xf numFmtId="1" fontId="29" fillId="10" borderId="16" xfId="0" applyNumberFormat="1" applyFont="1" applyFill="1" applyBorder="1"/>
    <xf numFmtId="1" fontId="29" fillId="8" borderId="16" xfId="0" applyNumberFormat="1" applyFont="1" applyFill="1" applyBorder="1"/>
    <xf numFmtId="1" fontId="29" fillId="8" borderId="22" xfId="0" applyNumberFormat="1" applyFont="1" applyFill="1" applyBorder="1"/>
    <xf numFmtId="1" fontId="29" fillId="10" borderId="38" xfId="0" applyNumberFormat="1" applyFont="1" applyFill="1" applyBorder="1"/>
    <xf numFmtId="0" fontId="17" fillId="0" borderId="0" xfId="0" applyFont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7" fillId="10" borderId="43" xfId="0" applyFont="1" applyFill="1" applyBorder="1"/>
    <xf numFmtId="0" fontId="0" fillId="0" borderId="0" xfId="0" applyAlignment="1">
      <alignment horizontal="center"/>
    </xf>
    <xf numFmtId="0" fontId="15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2" fillId="2" borderId="4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8" fillId="10" borderId="73" xfId="0" applyFont="1" applyFill="1" applyBorder="1" applyAlignment="1">
      <alignment horizontal="left"/>
    </xf>
    <xf numFmtId="0" fontId="23" fillId="6" borderId="8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7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1" fontId="8" fillId="17" borderId="19" xfId="0" applyNumberFormat="1" applyFont="1" applyFill="1" applyBorder="1" applyAlignment="1">
      <alignment horizontal="center"/>
    </xf>
    <xf numFmtId="1" fontId="8" fillId="17" borderId="20" xfId="0" applyNumberFormat="1" applyFont="1" applyFill="1" applyBorder="1" applyAlignment="1">
      <alignment horizontal="center"/>
    </xf>
    <xf numFmtId="1" fontId="0" fillId="22" borderId="19" xfId="0" applyNumberFormat="1" applyFill="1" applyBorder="1" applyAlignment="1">
      <alignment horizontal="center"/>
    </xf>
    <xf numFmtId="1" fontId="0" fillId="22" borderId="20" xfId="0" applyNumberFormat="1" applyFill="1" applyBorder="1" applyAlignment="1">
      <alignment horizontal="center"/>
    </xf>
    <xf numFmtId="0" fontId="43" fillId="0" borderId="28" xfId="0" applyFont="1" applyBorder="1" applyAlignment="1">
      <alignment horizontal="center"/>
    </xf>
    <xf numFmtId="1" fontId="43" fillId="0" borderId="29" xfId="0" applyNumberFormat="1" applyFont="1" applyBorder="1" applyAlignment="1">
      <alignment horizontal="center"/>
    </xf>
    <xf numFmtId="1" fontId="43" fillId="0" borderId="30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3" fillId="0" borderId="50" xfId="0" applyFont="1" applyBorder="1" applyAlignment="1">
      <alignment horizontal="center"/>
    </xf>
    <xf numFmtId="164" fontId="0" fillId="0" borderId="0" xfId="0" applyNumberFormat="1"/>
    <xf numFmtId="0" fontId="0" fillId="0" borderId="49" xfId="0" applyBorder="1" applyAlignment="1">
      <alignment horizontal="center"/>
    </xf>
    <xf numFmtId="0" fontId="0" fillId="0" borderId="1" xfId="0" applyBorder="1"/>
    <xf numFmtId="0" fontId="16" fillId="0" borderId="0" xfId="0" applyFont="1"/>
    <xf numFmtId="0" fontId="45" fillId="0" borderId="4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1" fontId="43" fillId="0" borderId="20" xfId="0" applyNumberFormat="1" applyFont="1" applyBorder="1" applyAlignment="1">
      <alignment horizontal="center"/>
    </xf>
    <xf numFmtId="164" fontId="43" fillId="0" borderId="29" xfId="0" applyNumberFormat="1" applyFont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1" fontId="43" fillId="0" borderId="25" xfId="0" applyNumberFormat="1" applyFont="1" applyBorder="1" applyAlignment="1">
      <alignment horizontal="center"/>
    </xf>
    <xf numFmtId="0" fontId="8" fillId="21" borderId="49" xfId="0" applyFont="1" applyFill="1" applyBorder="1" applyAlignment="1">
      <alignment horizontal="center"/>
    </xf>
    <xf numFmtId="1" fontId="8" fillId="21" borderId="19" xfId="0" applyNumberFormat="1" applyFont="1" applyFill="1" applyBorder="1" applyAlignment="1">
      <alignment horizontal="center"/>
    </xf>
    <xf numFmtId="1" fontId="8" fillId="21" borderId="20" xfId="0" applyNumberFormat="1" applyFont="1" applyFill="1" applyBorder="1" applyAlignment="1">
      <alignment horizontal="center"/>
    </xf>
    <xf numFmtId="0" fontId="13" fillId="17" borderId="49" xfId="0" applyFont="1" applyFill="1" applyBorder="1" applyAlignment="1">
      <alignment horizontal="center"/>
    </xf>
    <xf numFmtId="1" fontId="0" fillId="17" borderId="19" xfId="0" applyNumberFormat="1" applyFill="1" applyBorder="1" applyAlignment="1">
      <alignment horizontal="center"/>
    </xf>
    <xf numFmtId="1" fontId="0" fillId="17" borderId="20" xfId="0" applyNumberFormat="1" applyFill="1" applyBorder="1" applyAlignment="1">
      <alignment horizontal="center"/>
    </xf>
    <xf numFmtId="0" fontId="13" fillId="22" borderId="49" xfId="0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164" fontId="29" fillId="0" borderId="10" xfId="0" applyNumberFormat="1" applyFont="1" applyBorder="1"/>
    <xf numFmtId="164" fontId="43" fillId="0" borderId="19" xfId="0" applyNumberFormat="1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0" fillId="0" borderId="76" xfId="0" applyBorder="1"/>
    <xf numFmtId="0" fontId="0" fillId="0" borderId="62" xfId="0" applyBorder="1"/>
    <xf numFmtId="0" fontId="0" fillId="0" borderId="56" xfId="0" applyBorder="1"/>
    <xf numFmtId="0" fontId="0" fillId="0" borderId="49" xfId="0" applyBorder="1"/>
    <xf numFmtId="0" fontId="0" fillId="0" borderId="77" xfId="0" applyBorder="1"/>
    <xf numFmtId="0" fontId="13" fillId="0" borderId="0" xfId="0" applyFont="1"/>
    <xf numFmtId="0" fontId="54" fillId="23" borderId="51" xfId="0" applyFont="1" applyFill="1" applyBorder="1"/>
    <xf numFmtId="0" fontId="54" fillId="23" borderId="54" xfId="0" applyFont="1" applyFill="1" applyBorder="1"/>
    <xf numFmtId="0" fontId="0" fillId="23" borderId="52" xfId="0" applyFill="1" applyBorder="1"/>
    <xf numFmtId="0" fontId="0" fillId="23" borderId="53" xfId="0" applyFill="1" applyBorder="1"/>
    <xf numFmtId="0" fontId="0" fillId="23" borderId="57" xfId="0" applyFill="1" applyBorder="1"/>
    <xf numFmtId="0" fontId="0" fillId="23" borderId="66" xfId="0" applyFill="1" applyBorder="1"/>
    <xf numFmtId="0" fontId="0" fillId="23" borderId="0" xfId="0" applyFill="1"/>
    <xf numFmtId="0" fontId="0" fillId="23" borderId="65" xfId="0" applyFill="1" applyBorder="1"/>
    <xf numFmtId="0" fontId="0" fillId="0" borderId="0" xfId="0" applyFill="1"/>
    <xf numFmtId="0" fontId="29" fillId="25" borderId="31" xfId="0" applyFont="1" applyFill="1" applyBorder="1" applyAlignment="1">
      <alignment horizontal="left"/>
    </xf>
    <xf numFmtId="164" fontId="29" fillId="25" borderId="32" xfId="0" applyNumberFormat="1" applyFont="1" applyFill="1" applyBorder="1"/>
    <xf numFmtId="0" fontId="30" fillId="25" borderId="33" xfId="0" applyFont="1" applyFill="1" applyBorder="1"/>
    <xf numFmtId="10" fontId="29" fillId="25" borderId="33" xfId="0" applyNumberFormat="1" applyFont="1" applyFill="1" applyBorder="1"/>
    <xf numFmtId="9" fontId="29" fillId="25" borderId="34" xfId="0" applyNumberFormat="1" applyFont="1" applyFill="1" applyBorder="1"/>
    <xf numFmtId="0" fontId="15" fillId="25" borderId="68" xfId="0" applyFont="1" applyFill="1" applyBorder="1"/>
    <xf numFmtId="0" fontId="0" fillId="25" borderId="68" xfId="0" applyFill="1" applyBorder="1"/>
    <xf numFmtId="0" fontId="0" fillId="25" borderId="69" xfId="0" applyFill="1" applyBorder="1"/>
    <xf numFmtId="0" fontId="55" fillId="0" borderId="0" xfId="0" applyFont="1"/>
    <xf numFmtId="0" fontId="0" fillId="0" borderId="0" xfId="0" applyBorder="1"/>
    <xf numFmtId="0" fontId="9" fillId="23" borderId="59" xfId="0" applyFont="1" applyFill="1" applyBorder="1" applyAlignment="1">
      <alignment horizontal="center" vertical="center" wrapText="1"/>
    </xf>
    <xf numFmtId="0" fontId="0" fillId="23" borderId="43" xfId="0" applyFill="1" applyBorder="1" applyAlignment="1">
      <alignment horizontal="center" vertical="center"/>
    </xf>
    <xf numFmtId="0" fontId="0" fillId="23" borderId="44" xfId="0" applyFill="1" applyBorder="1" applyAlignment="1">
      <alignment horizontal="center" vertical="center"/>
    </xf>
    <xf numFmtId="0" fontId="0" fillId="23" borderId="46" xfId="0" applyFill="1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45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33" fillId="23" borderId="64" xfId="0" applyFont="1" applyFill="1" applyBorder="1" applyAlignment="1">
      <alignment horizontal="left"/>
    </xf>
    <xf numFmtId="0" fontId="51" fillId="23" borderId="65" xfId="0" applyFont="1" applyFill="1" applyBorder="1" applyAlignment="1">
      <alignment horizontal="left"/>
    </xf>
    <xf numFmtId="0" fontId="21" fillId="0" borderId="5" xfId="0" applyFont="1" applyBorder="1"/>
    <xf numFmtId="0" fontId="0" fillId="0" borderId="6" xfId="0" applyBorder="1"/>
    <xf numFmtId="0" fontId="34" fillId="23" borderId="5" xfId="0" applyFont="1" applyFill="1" applyBorder="1" applyAlignment="1">
      <alignment horizontal="left" wrapText="1"/>
    </xf>
    <xf numFmtId="0" fontId="11" fillId="23" borderId="7" xfId="0" applyFont="1" applyFill="1" applyBorder="1" applyAlignment="1">
      <alignment horizontal="left" wrapText="1"/>
    </xf>
    <xf numFmtId="0" fontId="38" fillId="24" borderId="5" xfId="0" applyFont="1" applyFill="1" applyBorder="1" applyAlignment="1">
      <alignment horizontal="left" vertical="center"/>
    </xf>
    <xf numFmtId="0" fontId="39" fillId="23" borderId="7" xfId="0" applyFont="1" applyFill="1" applyBorder="1" applyAlignment="1">
      <alignment vertical="center"/>
    </xf>
    <xf numFmtId="0" fontId="38" fillId="24" borderId="5" xfId="0" applyFont="1" applyFill="1" applyBorder="1" applyAlignment="1">
      <alignment horizontal="left" vertical="center" wrapText="1"/>
    </xf>
    <xf numFmtId="0" fontId="33" fillId="23" borderId="7" xfId="0" applyFont="1" applyFill="1" applyBorder="1" applyAlignment="1">
      <alignment vertical="center"/>
    </xf>
    <xf numFmtId="0" fontId="32" fillId="23" borderId="5" xfId="0" applyFont="1" applyFill="1" applyBorder="1" applyAlignment="1">
      <alignment horizontal="center" vertical="center" wrapText="1"/>
    </xf>
    <xf numFmtId="0" fontId="26" fillId="23" borderId="6" xfId="0" applyFont="1" applyFill="1" applyBorder="1" applyAlignment="1">
      <alignment horizontal="center" vertical="center" wrapText="1"/>
    </xf>
    <xf numFmtId="0" fontId="26" fillId="23" borderId="7" xfId="0" applyFont="1" applyFill="1" applyBorder="1" applyAlignment="1">
      <alignment horizontal="center" vertical="center" wrapText="1"/>
    </xf>
    <xf numFmtId="0" fontId="27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0" fillId="23" borderId="6" xfId="0" applyFill="1" applyBorder="1"/>
    <xf numFmtId="0" fontId="0" fillId="23" borderId="7" xfId="0" applyFill="1" applyBorder="1"/>
    <xf numFmtId="0" fontId="48" fillId="23" borderId="5" xfId="0" applyFont="1" applyFill="1" applyBorder="1" applyAlignment="1">
      <alignment horizontal="left" wrapText="1"/>
    </xf>
    <xf numFmtId="0" fontId="34" fillId="23" borderId="7" xfId="0" applyFont="1" applyFill="1" applyBorder="1" applyAlignment="1">
      <alignment horizontal="left" wrapText="1"/>
    </xf>
    <xf numFmtId="0" fontId="38" fillId="24" borderId="1" xfId="0" applyFont="1" applyFill="1" applyBorder="1" applyAlignment="1">
      <alignment horizontal="left" vertical="center"/>
    </xf>
    <xf numFmtId="0" fontId="39" fillId="23" borderId="3" xfId="0" applyFont="1" applyFill="1" applyBorder="1" applyAlignment="1">
      <alignment horizontal="left" vertical="center"/>
    </xf>
    <xf numFmtId="0" fontId="2" fillId="17" borderId="47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4" fillId="14" borderId="41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 wrapText="1"/>
    </xf>
    <xf numFmtId="0" fontId="2" fillId="15" borderId="59" xfId="0" applyFont="1" applyFill="1" applyBorder="1" applyAlignment="1">
      <alignment horizontal="center" vertical="center" wrapText="1"/>
    </xf>
    <xf numFmtId="0" fontId="2" fillId="15" borderId="4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/>
    </xf>
    <xf numFmtId="0" fontId="2" fillId="16" borderId="47" xfId="0" applyFont="1" applyFill="1" applyBorder="1" applyAlignment="1">
      <alignment horizontal="center" vertical="center" wrapText="1"/>
    </xf>
    <xf numFmtId="0" fontId="2" fillId="16" borderId="4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/>
    </xf>
    <xf numFmtId="0" fontId="45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5" fillId="0" borderId="0" xfId="0" applyFont="1" applyAlignment="1">
      <alignment horizontal="center" vertical="center" wrapText="1"/>
    </xf>
    <xf numFmtId="0" fontId="2" fillId="15" borderId="4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EFECF4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Abbott Hominex-1 to Early Yrs'!A1"/><Relationship Id="rId7" Type="http://schemas.openxmlformats.org/officeDocument/2006/relationships/hyperlink" Target="#'DRIs HCU Anamix Next'!A1"/><Relationship Id="rId2" Type="http://schemas.openxmlformats.org/officeDocument/2006/relationships/hyperlink" Target="#'Early Years to HCU Anamix Next'!A1"/><Relationship Id="rId1" Type="http://schemas.openxmlformats.org/officeDocument/2006/relationships/hyperlink" Target="#'DRIs HCU Anamix Early Yrs'!A1"/><Relationship Id="rId6" Type="http://schemas.openxmlformats.org/officeDocument/2006/relationships/hyperlink" Target="#'MJ HCY 1 to Next'!A1"/><Relationship Id="rId5" Type="http://schemas.openxmlformats.org/officeDocument/2006/relationships/hyperlink" Target="#'MJ HCY 1 to Early Yrs'!A1"/><Relationship Id="rId4" Type="http://schemas.openxmlformats.org/officeDocument/2006/relationships/hyperlink" Target="#'Abbott Hominex-1 to Next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390194</xdr:colOff>
      <xdr:row>30</xdr:row>
      <xdr:rowOff>83296</xdr:rowOff>
    </xdr:from>
    <xdr:to>
      <xdr:col>22</xdr:col>
      <xdr:colOff>65942</xdr:colOff>
      <xdr:row>33</xdr:row>
      <xdr:rowOff>163231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01752" y="5607796"/>
          <a:ext cx="2862959" cy="62945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Abbott's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Ketonex®-1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114299</xdr:colOff>
      <xdr:row>12</xdr:row>
      <xdr:rowOff>3460</xdr:rowOff>
    </xdr:from>
    <xdr:to>
      <xdr:col>8</xdr:col>
      <xdr:colOff>571500</xdr:colOff>
      <xdr:row>29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3124" y="2327560"/>
          <a:ext cx="2895601" cy="3387440"/>
        </a:xfrm>
        <a:prstGeom prst="roundRect">
          <a:avLst>
            <a:gd name="adj" fmla="val 4488"/>
          </a:avLst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MSUD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Complex MSD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Essential</a:t>
          </a:r>
        </a:p>
        <a:p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DRI Charts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This is a great interactive tool to ensure your patients' nutritional needs are met!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appropriate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product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 </a:t>
          </a:r>
        </a:p>
        <a:p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of protein equivalent (PE) your patient receives from the product and 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enter key. You will then see in Column B the amount of macro- &amp; micro-nutrients your patient will receive with our product. Then look to the right to see how these values compare to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DRI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appropriate age group column.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301916</xdr:colOff>
      <xdr:row>11</xdr:row>
      <xdr:rowOff>182470</xdr:rowOff>
    </xdr:from>
    <xdr:to>
      <xdr:col>14</xdr:col>
      <xdr:colOff>630115</xdr:colOff>
      <xdr:row>28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51378" y="2226682"/>
          <a:ext cx="2877968" cy="2987501"/>
        </a:xfrm>
        <a:prstGeom prst="roundRect">
          <a:avLst>
            <a:gd name="adj" fmla="val 4356"/>
          </a:avLst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MSUD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to Complex MSD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Essential</a:t>
          </a:r>
        </a:p>
        <a:p>
          <a:pPr eaLnBrk="1" fontAlgn="auto" latinLnBrk="0" hangingPunct="1"/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</a:t>
          </a:r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from Early Years </a:t>
          </a:r>
        </a:p>
        <a:p>
          <a:pPr algn="ctr"/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the Next Stage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"Early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Years to Complex MSD Essential",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ellow box type in the grams PE your patient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You will then see multiple options for a step-by-step transition.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254166</xdr:colOff>
      <xdr:row>34</xdr:row>
      <xdr:rowOff>162032</xdr:rowOff>
    </xdr:from>
    <xdr:to>
      <xdr:col>6</xdr:col>
      <xdr:colOff>92123</xdr:colOff>
      <xdr:row>37</xdr:row>
      <xdr:rowOff>173372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97291" y="6281845"/>
          <a:ext cx="1123832" cy="54712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baseline="0">
              <a:latin typeface="+mn-lt"/>
              <a:cs typeface="Arial" panose="020B0604020202020204" pitchFamily="34" charset="0"/>
            </a:rPr>
            <a:t>MSUD Anamix Early Years DRIs</a:t>
          </a:r>
          <a:endParaRPr lang="en-US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273050</xdr:colOff>
      <xdr:row>34</xdr:row>
      <xdr:rowOff>101600</xdr:rowOff>
    </xdr:from>
    <xdr:to>
      <xdr:col>13</xdr:col>
      <xdr:colOff>597807</xdr:colOff>
      <xdr:row>37</xdr:row>
      <xdr:rowOff>162545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864350" y="6292850"/>
          <a:ext cx="1601107" cy="6038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MSUD Anamix Early Years to Complex MSD Essential</a:t>
          </a:r>
          <a:endParaRPr lang="en-US" sz="1000" b="1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216144</xdr:colOff>
      <xdr:row>30</xdr:row>
      <xdr:rowOff>86679</xdr:rowOff>
    </xdr:from>
    <xdr:to>
      <xdr:col>22</xdr:col>
      <xdr:colOff>58616</xdr:colOff>
      <xdr:row>31</xdr:row>
      <xdr:rowOff>165072</xdr:rowOff>
    </xdr:to>
    <xdr:sp macro="" textlink="">
      <xdr:nvSpPr>
        <xdr:cNvPr id="10" name="Text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902586" y="5611179"/>
          <a:ext cx="1754799" cy="261566"/>
        </a:xfrm>
        <a:prstGeom prst="rect">
          <a:avLst/>
        </a:prstGeom>
        <a:solidFill>
          <a:schemeClr val="accent6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MSUD Anamix</a:t>
          </a:r>
          <a:r>
            <a:rPr lang="en-US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563860</xdr:colOff>
      <xdr:row>30</xdr:row>
      <xdr:rowOff>14772</xdr:rowOff>
    </xdr:from>
    <xdr:to>
      <xdr:col>14</xdr:col>
      <xdr:colOff>244493</xdr:colOff>
      <xdr:row>32</xdr:row>
      <xdr:rowOff>161976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11625" y="5774596"/>
          <a:ext cx="2101103" cy="528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Click here to visit the tab you need!   </a:t>
          </a:r>
        </a:p>
      </xdr:txBody>
    </xdr:sp>
    <xdr:clientData/>
  </xdr:twoCellAnchor>
  <xdr:twoCellAnchor>
    <xdr:from>
      <xdr:col>12</xdr:col>
      <xdr:colOff>389031</xdr:colOff>
      <xdr:row>32</xdr:row>
      <xdr:rowOff>107576</xdr:rowOff>
    </xdr:from>
    <xdr:to>
      <xdr:col>12</xdr:col>
      <xdr:colOff>400050</xdr:colOff>
      <xdr:row>34</xdr:row>
      <xdr:rowOff>63500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618506" y="5936876"/>
          <a:ext cx="11019" cy="31787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244493</xdr:colOff>
      <xdr:row>31</xdr:row>
      <xdr:rowOff>88374</xdr:rowOff>
    </xdr:from>
    <xdr:to>
      <xdr:col>17</xdr:col>
      <xdr:colOff>134471</xdr:colOff>
      <xdr:row>33</xdr:row>
      <xdr:rowOff>134470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3" idx="3"/>
        </xdr:cNvCxnSpPr>
      </xdr:nvCxnSpPr>
      <xdr:spPr>
        <a:xfrm>
          <a:off x="8312728" y="6038698"/>
          <a:ext cx="1705331" cy="42709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452437</xdr:colOff>
      <xdr:row>31</xdr:row>
      <xdr:rowOff>46438</xdr:rowOff>
    </xdr:from>
    <xdr:to>
      <xdr:col>10</xdr:col>
      <xdr:colOff>578210</xdr:colOff>
      <xdr:row>33</xdr:row>
      <xdr:rowOff>71437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881437" y="5630469"/>
          <a:ext cx="2697523" cy="382187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406401</xdr:colOff>
      <xdr:row>34</xdr:row>
      <xdr:rowOff>78427</xdr:rowOff>
    </xdr:from>
    <xdr:to>
      <xdr:col>22</xdr:col>
      <xdr:colOff>56031</xdr:colOff>
      <xdr:row>37</xdr:row>
      <xdr:rowOff>161192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17959" y="6335619"/>
          <a:ext cx="2836841" cy="63228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Mead Johnson's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BCAD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 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581024</xdr:colOff>
      <xdr:row>11</xdr:row>
      <xdr:rowOff>134471</xdr:rowOff>
    </xdr:from>
    <xdr:to>
      <xdr:col>20</xdr:col>
      <xdr:colOff>428625</xdr:colOff>
      <xdr:row>29</xdr:row>
      <xdr:rowOff>33617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4377" y="2274795"/>
          <a:ext cx="2873189" cy="3328146"/>
        </a:xfrm>
        <a:prstGeom prst="roundRect">
          <a:avLst>
            <a:gd name="adj" fmla="val 4488"/>
          </a:avLst>
        </a:prstGeom>
        <a:solidFill>
          <a:schemeClr val="accent6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Ketonex-1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MSUD Anamix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Ketonex-1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Complex MSD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Essential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BCAD 1 to MSUD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Early Years</a:t>
          </a:r>
          <a:endParaRPr lang="en-US" sz="900">
            <a:effectLst/>
          </a:endParaRPr>
        </a:p>
        <a:p>
          <a:pPr eaLnBrk="1" fontAlgn="auto" latinLnBrk="0" hangingPunct="1"/>
          <a:r>
            <a:rPr 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BCAD 1 Complex MSD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Essential</a:t>
          </a:r>
          <a:endParaRPr lang="en-US" sz="900">
            <a:effectLst/>
          </a:endParaRPr>
        </a:p>
        <a:p>
          <a:pPr algn="ctr" eaLnBrk="1" fontAlgn="auto" latinLnBrk="0" hangingPunct="1"/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 from Other Brands</a:t>
          </a:r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Anamix or Complex MSD</a:t>
          </a:r>
        </a:p>
        <a:p>
          <a:pPr algn="ctr"/>
          <a:endParaRPr lang="en-US" sz="10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"Abbott Ketonex-1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Early Yrs", "Abbott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Ketonex-1 to Essential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", "MJ BCAD 1 to Early Yrs", &amp; "MJ BCAD 1 to Essential"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tabs at the bottom of the page.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PE your patient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You will then see multiple options for a step-by-step transition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218098</xdr:colOff>
      <xdr:row>32</xdr:row>
      <xdr:rowOff>66964</xdr:rowOff>
    </xdr:from>
    <xdr:to>
      <xdr:col>22</xdr:col>
      <xdr:colOff>51289</xdr:colOff>
      <xdr:row>33</xdr:row>
      <xdr:rowOff>145403</xdr:rowOff>
    </xdr:to>
    <xdr:sp macro="" textlink="">
      <xdr:nvSpPr>
        <xdr:cNvPr id="33" name="TextBox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7088E9-7F3D-41A9-92F0-DE8EE2A8A6C6}"/>
            </a:ext>
          </a:extLst>
        </xdr:cNvPr>
        <xdr:cNvSpPr txBox="1"/>
      </xdr:nvSpPr>
      <xdr:spPr>
        <a:xfrm>
          <a:off x="11904540" y="5957810"/>
          <a:ext cx="1745518" cy="261612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Complex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MSD Essential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240079</xdr:colOff>
      <xdr:row>34</xdr:row>
      <xdr:rowOff>87465</xdr:rowOff>
    </xdr:from>
    <xdr:to>
      <xdr:col>22</xdr:col>
      <xdr:colOff>45096</xdr:colOff>
      <xdr:row>35</xdr:row>
      <xdr:rowOff>183173</xdr:rowOff>
    </xdr:to>
    <xdr:sp macro="" textlink="">
      <xdr:nvSpPr>
        <xdr:cNvPr id="37" name="TextBox 3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8EA26E-D737-4146-830D-A6020BBD954F}"/>
            </a:ext>
          </a:extLst>
        </xdr:cNvPr>
        <xdr:cNvSpPr txBox="1"/>
      </xdr:nvSpPr>
      <xdr:spPr>
        <a:xfrm>
          <a:off x="11926521" y="6344657"/>
          <a:ext cx="1717344" cy="278881"/>
        </a:xfrm>
        <a:prstGeom prst="rect">
          <a:avLst/>
        </a:prstGeom>
        <a:solidFill>
          <a:schemeClr val="accent5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MSUD Anamix Early Years</a:t>
          </a:r>
        </a:p>
      </xdr:txBody>
    </xdr:sp>
    <xdr:clientData/>
  </xdr:twoCellAnchor>
  <xdr:twoCellAnchor>
    <xdr:from>
      <xdr:col>19</xdr:col>
      <xdr:colOff>241056</xdr:colOff>
      <xdr:row>36</xdr:row>
      <xdr:rowOff>65598</xdr:rowOff>
    </xdr:from>
    <xdr:to>
      <xdr:col>22</xdr:col>
      <xdr:colOff>49248</xdr:colOff>
      <xdr:row>37</xdr:row>
      <xdr:rowOff>150387</xdr:rowOff>
    </xdr:to>
    <xdr:sp macro="" textlink="">
      <xdr:nvSpPr>
        <xdr:cNvPr id="39" name="TextBox 3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229029-089D-46F7-B14F-05C8EADBB58C}"/>
            </a:ext>
          </a:extLst>
        </xdr:cNvPr>
        <xdr:cNvSpPr txBox="1"/>
      </xdr:nvSpPr>
      <xdr:spPr>
        <a:xfrm>
          <a:off x="11927498" y="6689136"/>
          <a:ext cx="1720519" cy="267963"/>
        </a:xfrm>
        <a:prstGeom prst="rect">
          <a:avLst/>
        </a:prstGeom>
        <a:solidFill>
          <a:schemeClr val="accent5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Complex MSD Essential</a:t>
          </a:r>
        </a:p>
      </xdr:txBody>
    </xdr:sp>
    <xdr:clientData/>
  </xdr:twoCellAnchor>
  <xdr:twoCellAnchor>
    <xdr:from>
      <xdr:col>6</xdr:col>
      <xdr:colOff>451645</xdr:colOff>
      <xdr:row>34</xdr:row>
      <xdr:rowOff>152400</xdr:rowOff>
    </xdr:from>
    <xdr:to>
      <xdr:col>8</xdr:col>
      <xdr:colOff>290047</xdr:colOff>
      <xdr:row>38</xdr:row>
      <xdr:rowOff>2040</xdr:rowOff>
    </xdr:to>
    <xdr:sp macro="" textlink="">
      <xdr:nvSpPr>
        <xdr:cNvPr id="23" name="TextBox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59C0CD-0B68-4A0D-B304-9B9EDD6AE699}"/>
            </a:ext>
          </a:extLst>
        </xdr:cNvPr>
        <xdr:cNvSpPr txBox="1"/>
      </xdr:nvSpPr>
      <xdr:spPr>
        <a:xfrm>
          <a:off x="3880645" y="6272213"/>
          <a:ext cx="1124277" cy="56401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Complex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MSD Essential DRIs</a:t>
          </a:r>
          <a:endParaRPr lang="en-US" sz="900">
            <a:effectLst/>
          </a:endParaRPr>
        </a:p>
      </xdr:txBody>
    </xdr:sp>
    <xdr:clientData/>
  </xdr:twoCellAnchor>
  <xdr:twoCellAnchor editAs="oneCell">
    <xdr:from>
      <xdr:col>2</xdr:col>
      <xdr:colOff>91031</xdr:colOff>
      <xdr:row>2</xdr:row>
      <xdr:rowOff>57150</xdr:rowOff>
    </xdr:from>
    <xdr:to>
      <xdr:col>3</xdr:col>
      <xdr:colOff>590550</xdr:colOff>
      <xdr:row>10</xdr:row>
      <xdr:rowOff>11906</xdr:rowOff>
    </xdr:to>
    <xdr:pic>
      <xdr:nvPicPr>
        <xdr:cNvPr id="24" name="Picture 23" descr="[MSUD Anamix® Early Years]">
          <a:extLst>
            <a:ext uri="{FF2B5EF4-FFF2-40B4-BE49-F238E27FC236}">
              <a16:creationId xmlns:a16="http://schemas.microsoft.com/office/drawing/2014/main" id="{3733D94E-7E30-457F-B522-F6FACB1C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81" y="438150"/>
          <a:ext cx="1142457" cy="14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12</xdr:col>
      <xdr:colOff>326158</xdr:colOff>
      <xdr:row>43</xdr:row>
      <xdr:rowOff>83344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FC6AA95-9572-4397-BCF9-C93938C6AD6C}"/>
            </a:ext>
          </a:extLst>
        </xdr:cNvPr>
        <xdr:cNvSpPr txBox="1"/>
      </xdr:nvSpPr>
      <xdr:spPr>
        <a:xfrm>
          <a:off x="857250" y="7012781"/>
          <a:ext cx="6755533" cy="7977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latin typeface="Arial" panose="020B0604020202020204" pitchFamily="34" charset="0"/>
              <a:cs typeface="Arial" panose="020B0604020202020204" pitchFamily="34" charset="0"/>
            </a:rPr>
            <a:t>Further Questions/Assistance?</a:t>
          </a:r>
        </a:p>
        <a:p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Please reach out to our Nutrition Services Department: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2200" b="1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→</a:t>
          </a:r>
          <a:r>
            <a:rPr lang="en-US" sz="2200" b="1" baseline="0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u="none">
              <a:latin typeface="Arial" panose="020B0604020202020204" pitchFamily="34" charset="0"/>
              <a:cs typeface="Arial" panose="020B0604020202020204" pitchFamily="34" charset="0"/>
            </a:rPr>
            <a:t>Email</a:t>
          </a:r>
          <a:r>
            <a:rPr lang="en-US" sz="1100" b="1" u="none">
              <a:latin typeface="Arial" panose="020B0604020202020204" pitchFamily="34" charset="0"/>
              <a:cs typeface="Arial" panose="020B0604020202020204" pitchFamily="34" charset="0"/>
            </a:rPr>
            <a:t> NutritionServices@nutricia.com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or call 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1-800-365-7354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Mon-Fri from 8:30 am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- 5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 pm EST)</a:t>
          </a:r>
        </a:p>
      </xdr:txBody>
    </xdr:sp>
    <xdr:clientData/>
  </xdr:twoCellAnchor>
  <xdr:twoCellAnchor editAs="oneCell">
    <xdr:from>
      <xdr:col>21</xdr:col>
      <xdr:colOff>35719</xdr:colOff>
      <xdr:row>2</xdr:row>
      <xdr:rowOff>71439</xdr:rowOff>
    </xdr:from>
    <xdr:to>
      <xdr:col>22</xdr:col>
      <xdr:colOff>586260</xdr:colOff>
      <xdr:row>10</xdr:row>
      <xdr:rowOff>83343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9AFDEE7-A3A7-1558-F71D-40416E8E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108782" y="452439"/>
          <a:ext cx="1193478" cy="1464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10</xdr:col>
      <xdr:colOff>470430</xdr:colOff>
      <xdr:row>5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77150" y="1743075"/>
          <a:ext cx="1299105" cy="533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8</xdr:col>
      <xdr:colOff>68264</xdr:colOff>
      <xdr:row>0</xdr:row>
      <xdr:rowOff>169863</xdr:rowOff>
    </xdr:from>
    <xdr:to>
      <xdr:col>10</xdr:col>
      <xdr:colOff>357807</xdr:colOff>
      <xdr:row>2</xdr:row>
      <xdr:rowOff>553244</xdr:rowOff>
    </xdr:to>
    <xdr:pic>
      <xdr:nvPicPr>
        <xdr:cNvPr id="5" name="Picture 4" descr="[MSUD Anamix® Early Years]">
          <a:extLst>
            <a:ext uri="{FF2B5EF4-FFF2-40B4-BE49-F238E27FC236}">
              <a16:creationId xmlns:a16="http://schemas.microsoft.com/office/drawing/2014/main" id="{6A82BBEC-F3D0-4404-9121-52D70575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452" y="169863"/>
          <a:ext cx="1230136" cy="1526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0</xdr:rowOff>
    </xdr:from>
    <xdr:to>
      <xdr:col>12</xdr:col>
      <xdr:colOff>495541</xdr:colOff>
      <xdr:row>6</xdr:row>
      <xdr:rowOff>46759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D8BBBE-596F-4896-8D8E-61BED23577D5}"/>
            </a:ext>
          </a:extLst>
        </xdr:cNvPr>
        <xdr:cNvSpPr txBox="1"/>
      </xdr:nvSpPr>
      <xdr:spPr>
        <a:xfrm>
          <a:off x="8210550" y="1704975"/>
          <a:ext cx="1333741" cy="592859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222997</xdr:colOff>
      <xdr:row>0</xdr:row>
      <xdr:rowOff>129615</xdr:rowOff>
    </xdr:from>
    <xdr:to>
      <xdr:col>12</xdr:col>
      <xdr:colOff>448236</xdr:colOff>
      <xdr:row>2</xdr:row>
      <xdr:rowOff>412778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6476DA-8AC2-4503-68AF-62A738C44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129615"/>
          <a:ext cx="1155327" cy="14261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285753</xdr:colOff>
      <xdr:row>17</xdr:row>
      <xdr:rowOff>18731</xdr:rowOff>
    </xdr:from>
    <xdr:to>
      <xdr:col>9</xdr:col>
      <xdr:colOff>426508</xdr:colOff>
      <xdr:row>18</xdr:row>
      <xdr:rowOff>171450</xdr:rowOff>
    </xdr:to>
    <xdr:cxnSp macro="">
      <xdr:nvCxnSpPr>
        <xdr:cNvPr id="4" name="Curved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/>
        </xdr:cNvCxnSpPr>
      </xdr:nvCxnSpPr>
      <xdr:spPr>
        <a:xfrm flipV="1">
          <a:off x="7010403" y="3914456"/>
          <a:ext cx="778930" cy="343219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0</xdr:row>
      <xdr:rowOff>123825</xdr:rowOff>
    </xdr:from>
    <xdr:to>
      <xdr:col>13</xdr:col>
      <xdr:colOff>499005</xdr:colOff>
      <xdr:row>1</xdr:row>
      <xdr:rowOff>85725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8343900" y="123825"/>
          <a:ext cx="1299105" cy="533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342901</xdr:colOff>
      <xdr:row>17</xdr:row>
      <xdr:rowOff>9525</xdr:rowOff>
    </xdr:from>
    <xdr:to>
      <xdr:col>8</xdr:col>
      <xdr:colOff>34926</xdr:colOff>
      <xdr:row>23</xdr:row>
      <xdr:rowOff>113266</xdr:rowOff>
    </xdr:to>
    <xdr:pic>
      <xdr:nvPicPr>
        <xdr:cNvPr id="10" name="Picture 9" descr="[MSUD Anamix® Early Years]">
          <a:extLst>
            <a:ext uri="{FF2B5EF4-FFF2-40B4-BE49-F238E27FC236}">
              <a16:creationId xmlns:a16="http://schemas.microsoft.com/office/drawing/2014/main" id="{38F2DF63-B508-445A-8165-4557CCE9B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3905250"/>
          <a:ext cx="968375" cy="1208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533400</xdr:colOff>
      <xdr:row>12</xdr:row>
      <xdr:rowOff>104777</xdr:rowOff>
    </xdr:from>
    <xdr:to>
      <xdr:col>11</xdr:col>
      <xdr:colOff>227468</xdr:colOff>
      <xdr:row>19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817D30-49F0-20BD-571F-2555ADC2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225" y="3086102"/>
          <a:ext cx="1046618" cy="1285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245371</xdr:colOff>
      <xdr:row>18</xdr:row>
      <xdr:rowOff>103961</xdr:rowOff>
    </xdr:from>
    <xdr:to>
      <xdr:col>10</xdr:col>
      <xdr:colOff>111776</xdr:colOff>
      <xdr:row>23</xdr:row>
      <xdr:rowOff>407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6965788" y="4167961"/>
          <a:ext cx="1136405" cy="806613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0</xdr:row>
      <xdr:rowOff>123265</xdr:rowOff>
    </xdr:from>
    <xdr:to>
      <xdr:col>14</xdr:col>
      <xdr:colOff>476872</xdr:colOff>
      <xdr:row>1</xdr:row>
      <xdr:rowOff>84465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919882" y="123265"/>
          <a:ext cx="1294902" cy="532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179916</xdr:colOff>
      <xdr:row>13</xdr:row>
      <xdr:rowOff>144992</xdr:rowOff>
    </xdr:from>
    <xdr:to>
      <xdr:col>12</xdr:col>
      <xdr:colOff>45508</xdr:colOff>
      <xdr:row>21</xdr:row>
      <xdr:rowOff>83523</xdr:rowOff>
    </xdr:to>
    <xdr:pic>
      <xdr:nvPicPr>
        <xdr:cNvPr id="9" name="Picture 8" descr="[MSUD Anamix® Early Years]">
          <a:extLst>
            <a:ext uri="{FF2B5EF4-FFF2-40B4-BE49-F238E27FC236}">
              <a16:creationId xmlns:a16="http://schemas.microsoft.com/office/drawing/2014/main" id="{BCA868E6-558D-43A4-AA4A-2C4FF839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333" y="3298825"/>
          <a:ext cx="1132417" cy="1402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17993</xdr:colOff>
      <xdr:row>19</xdr:row>
      <xdr:rowOff>158749</xdr:rowOff>
    </xdr:from>
    <xdr:to>
      <xdr:col>8</xdr:col>
      <xdr:colOff>112184</xdr:colOff>
      <xdr:row>27</xdr:row>
      <xdr:rowOff>30146</xdr:rowOff>
    </xdr:to>
    <xdr:pic>
      <xdr:nvPicPr>
        <xdr:cNvPr id="10" name="Picture 9" descr="Ketonex&lt;sup&gt;®&lt;/sup&gt;-1">
          <a:extLst>
            <a:ext uri="{FF2B5EF4-FFF2-40B4-BE49-F238E27FC236}">
              <a16:creationId xmlns:a16="http://schemas.microsoft.com/office/drawing/2014/main" id="{2F764747-B4D1-417C-B5C7-B271AFAA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8410" y="4402666"/>
          <a:ext cx="1364191" cy="1335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9EE30BE7-58F5-4824-B3EF-54CDCB328722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B0FF2-ADCE-4092-8EC4-13442DA91A87}"/>
            </a:ext>
          </a:extLst>
        </xdr:cNvPr>
        <xdr:cNvSpPr txBox="1"/>
      </xdr:nvSpPr>
      <xdr:spPr>
        <a:xfrm>
          <a:off x="8931089" y="145677"/>
          <a:ext cx="1294902" cy="532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74083</xdr:colOff>
      <xdr:row>19</xdr:row>
      <xdr:rowOff>42334</xdr:rowOff>
    </xdr:from>
    <xdr:to>
      <xdr:col>8</xdr:col>
      <xdr:colOff>165099</xdr:colOff>
      <xdr:row>26</xdr:row>
      <xdr:rowOff>84123</xdr:rowOff>
    </xdr:to>
    <xdr:pic>
      <xdr:nvPicPr>
        <xdr:cNvPr id="7" name="Picture 6" descr="Ketonex&lt;sup&gt;®&lt;/sup&gt;-1">
          <a:extLst>
            <a:ext uri="{FF2B5EF4-FFF2-40B4-BE49-F238E27FC236}">
              <a16:creationId xmlns:a16="http://schemas.microsoft.com/office/drawing/2014/main" id="{04DA84A7-EB6E-4B89-A4BB-211CC4F36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4286251"/>
          <a:ext cx="1364191" cy="1325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624417</xdr:colOff>
      <xdr:row>13</xdr:row>
      <xdr:rowOff>148166</xdr:rowOff>
    </xdr:from>
    <xdr:to>
      <xdr:col>11</xdr:col>
      <xdr:colOff>511175</xdr:colOff>
      <xdr:row>21</xdr:row>
      <xdr:rowOff>111864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CF9622-DA2B-B844-FE63-3254D617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9834" y="3301999"/>
          <a:ext cx="1156758" cy="14241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C364451E-379E-4193-BD05-3BCFF04F8CB4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67236</xdr:colOff>
      <xdr:row>0</xdr:row>
      <xdr:rowOff>123264</xdr:rowOff>
    </xdr:from>
    <xdr:to>
      <xdr:col>14</xdr:col>
      <xdr:colOff>465667</xdr:colOff>
      <xdr:row>1</xdr:row>
      <xdr:rowOff>84464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5FD58-0EC3-45A2-8C65-E355607B811B}"/>
            </a:ext>
          </a:extLst>
        </xdr:cNvPr>
        <xdr:cNvSpPr txBox="1"/>
      </xdr:nvSpPr>
      <xdr:spPr>
        <a:xfrm>
          <a:off x="8908677" y="123264"/>
          <a:ext cx="1294902" cy="532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87841</xdr:colOff>
      <xdr:row>19</xdr:row>
      <xdr:rowOff>105835</xdr:rowOff>
    </xdr:from>
    <xdr:to>
      <xdr:col>8</xdr:col>
      <xdr:colOff>116417</xdr:colOff>
      <xdr:row>26</xdr:row>
      <xdr:rowOff>106413</xdr:rowOff>
    </xdr:to>
    <xdr:pic>
      <xdr:nvPicPr>
        <xdr:cNvPr id="8" name="Picture 7" descr="See the source image">
          <a:extLst>
            <a:ext uri="{FF2B5EF4-FFF2-40B4-BE49-F238E27FC236}">
              <a16:creationId xmlns:a16="http://schemas.microsoft.com/office/drawing/2014/main" id="{71A30AD6-365A-4B13-915A-D9C6A099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258" y="4349752"/>
          <a:ext cx="1298576" cy="1277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63500</xdr:colOff>
      <xdr:row>14</xdr:row>
      <xdr:rowOff>1</xdr:rowOff>
    </xdr:from>
    <xdr:to>
      <xdr:col>11</xdr:col>
      <xdr:colOff>619477</xdr:colOff>
      <xdr:row>22</xdr:row>
      <xdr:rowOff>10178</xdr:rowOff>
    </xdr:to>
    <xdr:pic>
      <xdr:nvPicPr>
        <xdr:cNvPr id="9" name="Picture 8" descr="[MSUD Anamix® Early Years]">
          <a:extLst>
            <a:ext uri="{FF2B5EF4-FFF2-40B4-BE49-F238E27FC236}">
              <a16:creationId xmlns:a16="http://schemas.microsoft.com/office/drawing/2014/main" id="{0E99BA06-5DCD-4105-96AF-077E4EEDA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917" y="3333751"/>
          <a:ext cx="1187802" cy="147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AEC24768-0D76-43A3-9BDA-B5B00699095A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23595-8179-4E1F-A8C3-149DD6A74E7C}"/>
            </a:ext>
          </a:extLst>
        </xdr:cNvPr>
        <xdr:cNvSpPr txBox="1"/>
      </xdr:nvSpPr>
      <xdr:spPr>
        <a:xfrm>
          <a:off x="8966948" y="145677"/>
          <a:ext cx="1293781" cy="532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52916</xdr:colOff>
      <xdr:row>19</xdr:row>
      <xdr:rowOff>84666</xdr:rowOff>
    </xdr:from>
    <xdr:to>
      <xdr:col>8</xdr:col>
      <xdr:colOff>87842</xdr:colOff>
      <xdr:row>26</xdr:row>
      <xdr:rowOff>85244</xdr:rowOff>
    </xdr:to>
    <xdr:pic>
      <xdr:nvPicPr>
        <xdr:cNvPr id="9" name="Picture 8" descr="See the source image">
          <a:extLst>
            <a:ext uri="{FF2B5EF4-FFF2-40B4-BE49-F238E27FC236}">
              <a16:creationId xmlns:a16="http://schemas.microsoft.com/office/drawing/2014/main" id="{4BC1038D-6DC2-4A96-BA36-E0046318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33" y="4328583"/>
          <a:ext cx="1298576" cy="1287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613834</xdr:colOff>
      <xdr:row>14</xdr:row>
      <xdr:rowOff>0</xdr:rowOff>
    </xdr:from>
    <xdr:to>
      <xdr:col>11</xdr:col>
      <xdr:colOff>525992</xdr:colOff>
      <xdr:row>22</xdr:row>
      <xdr:rowOff>2809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9587F0-6841-3E65-69BB-1A763156B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69251" y="3333750"/>
          <a:ext cx="1185333" cy="146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X47"/>
  <sheetViews>
    <sheetView showGridLines="0" showRowColHeaders="0" tabSelected="1" zoomScale="80" zoomScaleNormal="80" workbookViewId="0"/>
  </sheetViews>
  <sheetFormatPr defaultColWidth="9.1796875" defaultRowHeight="14.5" x14ac:dyDescent="0.35"/>
  <cols>
    <col min="1" max="1" width="3" customWidth="1"/>
  </cols>
  <sheetData>
    <row r="1" spans="2:24" ht="15" thickBot="1" x14ac:dyDescent="0.4"/>
    <row r="2" spans="2:24" ht="15" thickTop="1" x14ac:dyDescent="0.35">
      <c r="B2" s="305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8"/>
    </row>
    <row r="3" spans="2:24" ht="15" thickBot="1" x14ac:dyDescent="0.4">
      <c r="B3" s="306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09"/>
    </row>
    <row r="4" spans="2:24" x14ac:dyDescent="0.35">
      <c r="B4" s="306"/>
      <c r="C4" s="5"/>
      <c r="D4" s="6"/>
      <c r="E4" s="324" t="s">
        <v>103</v>
      </c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6"/>
      <c r="V4" s="6"/>
      <c r="W4" s="7"/>
      <c r="X4" s="309"/>
    </row>
    <row r="5" spans="2:24" x14ac:dyDescent="0.35">
      <c r="B5" s="306"/>
      <c r="C5" s="5"/>
      <c r="D5" s="6"/>
      <c r="E5" s="327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9"/>
      <c r="V5" s="6"/>
      <c r="W5" s="7"/>
      <c r="X5" s="309"/>
    </row>
    <row r="6" spans="2:24" x14ac:dyDescent="0.35">
      <c r="B6" s="306"/>
      <c r="C6" s="5"/>
      <c r="E6" s="327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9"/>
      <c r="V6" s="6"/>
      <c r="W6" s="7"/>
      <c r="X6" s="309"/>
    </row>
    <row r="7" spans="2:24" x14ac:dyDescent="0.35">
      <c r="B7" s="306"/>
      <c r="C7" s="5"/>
      <c r="D7" s="6"/>
      <c r="E7" s="327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9"/>
      <c r="V7" s="6"/>
      <c r="W7" s="7"/>
      <c r="X7" s="309"/>
    </row>
    <row r="8" spans="2:24" x14ac:dyDescent="0.35">
      <c r="B8" s="306"/>
      <c r="C8" s="5"/>
      <c r="D8" s="6"/>
      <c r="E8" s="327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9"/>
      <c r="V8" s="6"/>
      <c r="W8" s="7"/>
      <c r="X8" s="309"/>
    </row>
    <row r="9" spans="2:24" x14ac:dyDescent="0.35">
      <c r="B9" s="306"/>
      <c r="C9" s="5"/>
      <c r="D9" s="6"/>
      <c r="E9" s="327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9"/>
      <c r="V9" s="6"/>
      <c r="W9" s="7"/>
      <c r="X9" s="309"/>
    </row>
    <row r="10" spans="2:24" ht="15" thickBot="1" x14ac:dyDescent="0.4">
      <c r="B10" s="306"/>
      <c r="C10" s="5"/>
      <c r="D10" s="6"/>
      <c r="E10" s="330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2"/>
      <c r="V10" s="6"/>
      <c r="W10" s="7"/>
      <c r="X10" s="309"/>
    </row>
    <row r="11" spans="2:24" x14ac:dyDescent="0.35">
      <c r="B11" s="306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309"/>
    </row>
    <row r="12" spans="2:24" x14ac:dyDescent="0.35">
      <c r="B12" s="30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309"/>
    </row>
    <row r="13" spans="2:24" x14ac:dyDescent="0.35">
      <c r="B13" s="306"/>
      <c r="C13" s="8"/>
      <c r="W13" s="9"/>
      <c r="X13" s="309"/>
    </row>
    <row r="14" spans="2:24" x14ac:dyDescent="0.35">
      <c r="B14" s="306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309"/>
    </row>
    <row r="15" spans="2:24" x14ac:dyDescent="0.35">
      <c r="B15" s="306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309"/>
    </row>
    <row r="16" spans="2:24" x14ac:dyDescent="0.35">
      <c r="B16" s="306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309"/>
    </row>
    <row r="17" spans="2:24" x14ac:dyDescent="0.35">
      <c r="B17" s="306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309"/>
    </row>
    <row r="18" spans="2:24" x14ac:dyDescent="0.35">
      <c r="B18" s="306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309"/>
    </row>
    <row r="19" spans="2:24" x14ac:dyDescent="0.35">
      <c r="B19" s="30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309"/>
    </row>
    <row r="20" spans="2:24" x14ac:dyDescent="0.35">
      <c r="B20" s="306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309"/>
    </row>
    <row r="21" spans="2:24" x14ac:dyDescent="0.35">
      <c r="B21" s="306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309"/>
    </row>
    <row r="22" spans="2:24" x14ac:dyDescent="0.35">
      <c r="B22" s="306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309"/>
    </row>
    <row r="23" spans="2:24" x14ac:dyDescent="0.35">
      <c r="B23" s="306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309"/>
    </row>
    <row r="24" spans="2:24" x14ac:dyDescent="0.35">
      <c r="B24" s="306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309"/>
    </row>
    <row r="25" spans="2:24" x14ac:dyDescent="0.35">
      <c r="B25" s="306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309"/>
    </row>
    <row r="26" spans="2:24" x14ac:dyDescent="0.35">
      <c r="B26" s="306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309"/>
    </row>
    <row r="27" spans="2:24" x14ac:dyDescent="0.35">
      <c r="B27" s="306"/>
      <c r="C27" s="8"/>
      <c r="W27" s="9"/>
      <c r="X27" s="309"/>
    </row>
    <row r="28" spans="2:24" x14ac:dyDescent="0.35">
      <c r="B28" s="306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309"/>
    </row>
    <row r="29" spans="2:24" x14ac:dyDescent="0.35">
      <c r="B29" s="306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309"/>
    </row>
    <row r="30" spans="2:24" x14ac:dyDescent="0.35">
      <c r="B30" s="306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309"/>
    </row>
    <row r="31" spans="2:24" x14ac:dyDescent="0.35">
      <c r="B31" s="306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309"/>
    </row>
    <row r="32" spans="2:24" x14ac:dyDescent="0.35">
      <c r="B32" s="306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309"/>
    </row>
    <row r="33" spans="2:24" x14ac:dyDescent="0.35">
      <c r="B33" s="306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309"/>
    </row>
    <row r="34" spans="2:24" x14ac:dyDescent="0.35">
      <c r="B34" s="306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309"/>
    </row>
    <row r="35" spans="2:24" x14ac:dyDescent="0.35">
      <c r="B35" s="306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309"/>
    </row>
    <row r="36" spans="2:24" x14ac:dyDescent="0.35">
      <c r="B36" s="306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309"/>
    </row>
    <row r="37" spans="2:24" x14ac:dyDescent="0.35">
      <c r="B37" s="306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309"/>
    </row>
    <row r="38" spans="2:24" x14ac:dyDescent="0.35">
      <c r="B38" s="306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309"/>
    </row>
    <row r="39" spans="2:24" x14ac:dyDescent="0.35">
      <c r="B39" s="306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09"/>
    </row>
    <row r="40" spans="2:24" x14ac:dyDescent="0.35">
      <c r="B40" s="306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09"/>
    </row>
    <row r="41" spans="2:24" x14ac:dyDescent="0.35">
      <c r="B41" s="306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09"/>
    </row>
    <row r="42" spans="2:24" x14ac:dyDescent="0.35">
      <c r="B42" s="306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09"/>
    </row>
    <row r="43" spans="2:24" x14ac:dyDescent="0.35">
      <c r="B43" s="306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09"/>
    </row>
    <row r="44" spans="2:24" x14ac:dyDescent="0.35">
      <c r="B44" s="306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09"/>
    </row>
    <row r="45" spans="2:24" ht="16" thickBot="1" x14ac:dyDescent="0.4">
      <c r="B45" s="333" t="s">
        <v>102</v>
      </c>
      <c r="C45" s="334"/>
      <c r="D45" s="334"/>
      <c r="E45" s="334"/>
      <c r="F45" s="334"/>
      <c r="G45" s="334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0"/>
    </row>
    <row r="46" spans="2:24" ht="15" thickTop="1" x14ac:dyDescent="0.35">
      <c r="B46" s="241" t="s">
        <v>93</v>
      </c>
    </row>
    <row r="47" spans="2:24" x14ac:dyDescent="0.35">
      <c r="B47" t="s">
        <v>104</v>
      </c>
    </row>
  </sheetData>
  <sheetProtection algorithmName="SHA-512" hashValue="P6c+23L49vPSqSqeQU5s6UWIEQ/MPrmE4ufkgshD1Rlf6Q/s7uO/mOkWrlpJZhGK/sQ5pg0eWXlnrcUA+0lzHQ==" saltValue="95gH4MLkMoqkEHbZyryY9A==" spinCount="100000" sheet="1" objects="1" scenarios="1"/>
  <mergeCells count="2">
    <mergeCell ref="E4:U10"/>
    <mergeCell ref="B45:G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H51"/>
  <sheetViews>
    <sheetView showGridLines="0" zoomScale="90" zoomScaleNormal="90" workbookViewId="0">
      <selection activeCell="C2" sqref="C2:H2"/>
    </sheetView>
  </sheetViews>
  <sheetFormatPr defaultColWidth="9.1796875" defaultRowHeight="14.5" x14ac:dyDescent="0.35"/>
  <cols>
    <col min="1" max="1" width="26.1796875" customWidth="1"/>
    <col min="2" max="2" width="14.26953125" customWidth="1"/>
    <col min="3" max="8" width="12.26953125" customWidth="1"/>
    <col min="9" max="9" width="4.26953125" customWidth="1"/>
  </cols>
  <sheetData>
    <row r="1" spans="1:8" ht="15" thickBot="1" x14ac:dyDescent="0.4">
      <c r="A1" s="335" t="s">
        <v>0</v>
      </c>
      <c r="B1" s="336"/>
      <c r="C1" s="336"/>
      <c r="D1" s="336"/>
      <c r="E1" s="336"/>
      <c r="F1" s="336"/>
      <c r="G1" s="242"/>
      <c r="H1" s="243"/>
    </row>
    <row r="2" spans="1:8" ht="75" customHeight="1" thickBot="1" x14ac:dyDescent="0.4">
      <c r="A2" s="15" t="s">
        <v>64</v>
      </c>
      <c r="B2" s="16">
        <v>0</v>
      </c>
      <c r="C2" s="343" t="s">
        <v>94</v>
      </c>
      <c r="D2" s="344"/>
      <c r="E2" s="344"/>
      <c r="F2" s="344"/>
      <c r="G2" s="344"/>
      <c r="H2" s="345"/>
    </row>
    <row r="3" spans="1:8" ht="45" customHeight="1" thickBot="1" x14ac:dyDescent="0.5">
      <c r="A3" s="337" t="s">
        <v>102</v>
      </c>
      <c r="B3" s="338"/>
      <c r="C3" s="17" t="s">
        <v>80</v>
      </c>
      <c r="D3" s="17" t="s">
        <v>58</v>
      </c>
      <c r="E3" s="18" t="s">
        <v>81</v>
      </c>
      <c r="F3" s="18" t="s">
        <v>59</v>
      </c>
      <c r="G3" s="143" t="s">
        <v>57</v>
      </c>
      <c r="H3" s="143" t="s">
        <v>60</v>
      </c>
    </row>
    <row r="4" spans="1:8" x14ac:dyDescent="0.35">
      <c r="A4" s="107" t="s">
        <v>2</v>
      </c>
      <c r="B4" s="108">
        <f>B2*100/13.5</f>
        <v>0</v>
      </c>
      <c r="C4" s="109"/>
      <c r="D4" s="110"/>
      <c r="E4" s="109"/>
      <c r="F4" s="111"/>
      <c r="G4" s="123"/>
      <c r="H4" s="112"/>
    </row>
    <row r="5" spans="1:8" x14ac:dyDescent="0.35">
      <c r="A5" s="20" t="s">
        <v>68</v>
      </c>
      <c r="B5" s="21">
        <f>20/100*B4</f>
        <v>0</v>
      </c>
      <c r="C5" s="22"/>
      <c r="D5" s="23"/>
      <c r="E5" s="22"/>
      <c r="F5" s="24"/>
      <c r="G5" s="119"/>
      <c r="H5" s="106"/>
    </row>
    <row r="6" spans="1:8" x14ac:dyDescent="0.35">
      <c r="A6" s="26" t="s">
        <v>51</v>
      </c>
      <c r="B6" s="27">
        <f>473/100*B4</f>
        <v>0</v>
      </c>
      <c r="C6" s="28"/>
      <c r="D6" s="29"/>
      <c r="E6" s="28"/>
      <c r="F6" s="30"/>
      <c r="G6" s="120"/>
      <c r="H6" s="31"/>
    </row>
    <row r="7" spans="1:8" x14ac:dyDescent="0.35">
      <c r="A7" s="32" t="s">
        <v>4</v>
      </c>
      <c r="B7" s="33">
        <f>13.5/100*B4</f>
        <v>0</v>
      </c>
      <c r="C7" s="34">
        <v>9.1</v>
      </c>
      <c r="D7" s="35">
        <f>B7/C7</f>
        <v>0</v>
      </c>
      <c r="E7" s="36">
        <v>11</v>
      </c>
      <c r="F7" s="128">
        <f>B7/E7</f>
        <v>0</v>
      </c>
      <c r="G7" s="131">
        <v>13</v>
      </c>
      <c r="H7" s="43">
        <f>B7/G7</f>
        <v>0</v>
      </c>
    </row>
    <row r="8" spans="1:8" ht="14.25" customHeight="1" x14ac:dyDescent="0.35">
      <c r="A8" s="26" t="s">
        <v>5</v>
      </c>
      <c r="B8" s="27">
        <f>23/100*B4</f>
        <v>0</v>
      </c>
      <c r="C8" s="28">
        <v>31</v>
      </c>
      <c r="D8" s="29">
        <f>B8/C8</f>
        <v>0</v>
      </c>
      <c r="E8" s="28">
        <v>30</v>
      </c>
      <c r="F8" s="37">
        <f>B8/E8</f>
        <v>0</v>
      </c>
      <c r="G8" s="120" t="s">
        <v>22</v>
      </c>
      <c r="H8" s="31"/>
    </row>
    <row r="9" spans="1:8" x14ac:dyDescent="0.35">
      <c r="A9" s="113" t="s">
        <v>53</v>
      </c>
      <c r="B9" s="39">
        <f>7.5/100*B4</f>
        <v>0</v>
      </c>
      <c r="C9" s="40"/>
      <c r="D9" s="41"/>
      <c r="E9" s="40"/>
      <c r="F9" s="42"/>
      <c r="G9" s="121"/>
      <c r="H9" s="43"/>
    </row>
    <row r="10" spans="1:8" x14ac:dyDescent="0.35">
      <c r="A10" s="114" t="s">
        <v>54</v>
      </c>
      <c r="B10" s="44">
        <f>9.4/100*B4</f>
        <v>0</v>
      </c>
      <c r="C10" s="45"/>
      <c r="D10" s="46"/>
      <c r="E10" s="45"/>
      <c r="F10" s="47"/>
      <c r="G10" s="125"/>
      <c r="H10" s="48"/>
    </row>
    <row r="11" spans="1:8" x14ac:dyDescent="0.35">
      <c r="A11" s="113" t="s">
        <v>55</v>
      </c>
      <c r="B11" s="39">
        <f>5/100*B4</f>
        <v>0</v>
      </c>
      <c r="C11" s="40"/>
      <c r="D11" s="41"/>
      <c r="E11" s="40"/>
      <c r="F11" s="42"/>
      <c r="G11" s="121"/>
      <c r="H11" s="43"/>
    </row>
    <row r="12" spans="1:8" x14ac:dyDescent="0.35">
      <c r="A12" s="115" t="s">
        <v>65</v>
      </c>
      <c r="B12" s="50">
        <f>70/100*B4</f>
        <v>0</v>
      </c>
      <c r="C12" s="51"/>
      <c r="D12" s="52"/>
      <c r="E12" s="51"/>
      <c r="F12" s="53"/>
      <c r="G12" s="126"/>
      <c r="H12" s="54"/>
    </row>
    <row r="13" spans="1:8" x14ac:dyDescent="0.35">
      <c r="A13" s="116" t="s">
        <v>66</v>
      </c>
      <c r="B13" s="55">
        <f>140/100*B4</f>
        <v>0</v>
      </c>
      <c r="C13" s="56"/>
      <c r="D13" s="57"/>
      <c r="E13" s="56"/>
      <c r="F13" s="58"/>
      <c r="G13" s="127"/>
      <c r="H13" s="59"/>
    </row>
    <row r="14" spans="1:8" x14ac:dyDescent="0.35">
      <c r="A14" s="117" t="s">
        <v>67</v>
      </c>
      <c r="B14" s="60">
        <f>3500/100*B4</f>
        <v>0</v>
      </c>
      <c r="C14" s="61">
        <v>4400</v>
      </c>
      <c r="D14" s="62">
        <f>B14/C14</f>
        <v>0</v>
      </c>
      <c r="E14" s="61">
        <v>4600</v>
      </c>
      <c r="F14" s="63">
        <f>B14/E14</f>
        <v>0</v>
      </c>
      <c r="G14" s="130">
        <v>7000</v>
      </c>
      <c r="H14" s="54">
        <f>B14/G14</f>
        <v>0</v>
      </c>
    </row>
    <row r="15" spans="1:8" x14ac:dyDescent="0.35">
      <c r="A15" s="64" t="s">
        <v>6</v>
      </c>
      <c r="B15" s="65">
        <f>53/100*B4</f>
        <v>0</v>
      </c>
      <c r="C15" s="66">
        <v>60</v>
      </c>
      <c r="D15" s="67">
        <f>B15/C15</f>
        <v>0</v>
      </c>
      <c r="E15" s="66">
        <v>95</v>
      </c>
      <c r="F15" s="67">
        <f>B15/E15</f>
        <v>0</v>
      </c>
      <c r="G15" s="129">
        <v>130</v>
      </c>
      <c r="H15" s="68">
        <f>B15/G15</f>
        <v>0</v>
      </c>
    </row>
    <row r="16" spans="1:8" ht="15" thickBot="1" x14ac:dyDescent="0.4">
      <c r="A16" s="118" t="s">
        <v>48</v>
      </c>
      <c r="B16" s="69">
        <f>5.3/100*B4</f>
        <v>0</v>
      </c>
      <c r="C16" s="70" t="s">
        <v>22</v>
      </c>
      <c r="D16" s="71"/>
      <c r="E16" s="70" t="s">
        <v>22</v>
      </c>
      <c r="F16" s="72"/>
      <c r="G16" s="151">
        <v>19</v>
      </c>
      <c r="H16" s="73">
        <f>B16/G16</f>
        <v>0</v>
      </c>
    </row>
    <row r="17" spans="1:8" ht="38.25" customHeight="1" thickBot="1" x14ac:dyDescent="0.4">
      <c r="A17" s="339" t="s">
        <v>7</v>
      </c>
      <c r="B17" s="340"/>
      <c r="C17" s="74" t="s">
        <v>80</v>
      </c>
      <c r="D17" s="74" t="s">
        <v>58</v>
      </c>
      <c r="E17" s="19" t="s">
        <v>81</v>
      </c>
      <c r="F17" s="75" t="s">
        <v>59</v>
      </c>
      <c r="G17" s="143" t="s">
        <v>57</v>
      </c>
      <c r="H17" s="144" t="s">
        <v>60</v>
      </c>
    </row>
    <row r="18" spans="1:8" x14ac:dyDescent="0.35">
      <c r="A18" s="20" t="s">
        <v>8</v>
      </c>
      <c r="B18" s="21">
        <f>392/100*B4</f>
        <v>0</v>
      </c>
      <c r="C18" s="22">
        <v>400</v>
      </c>
      <c r="D18" s="23">
        <f t="shared" ref="D18:D44" si="0">B18/C18</f>
        <v>0</v>
      </c>
      <c r="E18" s="22">
        <v>500</v>
      </c>
      <c r="F18" s="76">
        <f t="shared" ref="F18:F31" si="1">B18/E18</f>
        <v>0</v>
      </c>
      <c r="G18" s="132">
        <v>300</v>
      </c>
      <c r="H18" s="25">
        <f t="shared" ref="H18:H31" si="2">B18/G18</f>
        <v>0</v>
      </c>
    </row>
    <row r="19" spans="1:8" x14ac:dyDescent="0.35">
      <c r="A19" s="26" t="s">
        <v>9</v>
      </c>
      <c r="B19" s="27">
        <f>8.7/100*B4</f>
        <v>0</v>
      </c>
      <c r="C19" s="28">
        <v>10</v>
      </c>
      <c r="D19" s="29">
        <f t="shared" si="0"/>
        <v>0</v>
      </c>
      <c r="E19" s="28">
        <v>10</v>
      </c>
      <c r="F19" s="37">
        <f t="shared" si="1"/>
        <v>0</v>
      </c>
      <c r="G19" s="134">
        <v>15</v>
      </c>
      <c r="H19" s="48">
        <f t="shared" si="2"/>
        <v>0</v>
      </c>
    </row>
    <row r="20" spans="1:8" x14ac:dyDescent="0.35">
      <c r="A20" s="38" t="s">
        <v>10</v>
      </c>
      <c r="B20" s="39">
        <f>7.3/100*B4</f>
        <v>0</v>
      </c>
      <c r="C20" s="40">
        <v>4</v>
      </c>
      <c r="D20" s="41">
        <f t="shared" si="0"/>
        <v>0</v>
      </c>
      <c r="E20" s="40">
        <v>5</v>
      </c>
      <c r="F20" s="42">
        <f t="shared" si="1"/>
        <v>0</v>
      </c>
      <c r="G20" s="131">
        <v>6</v>
      </c>
      <c r="H20" s="43">
        <f t="shared" si="2"/>
        <v>0</v>
      </c>
    </row>
    <row r="21" spans="1:8" x14ac:dyDescent="0.35">
      <c r="A21" s="26" t="s">
        <v>11</v>
      </c>
      <c r="B21" s="27">
        <f>38/100*B4</f>
        <v>0</v>
      </c>
      <c r="C21" s="120">
        <v>2</v>
      </c>
      <c r="D21" s="29">
        <f t="shared" si="0"/>
        <v>0</v>
      </c>
      <c r="E21" s="28">
        <v>2.5</v>
      </c>
      <c r="F21" s="37">
        <f t="shared" si="1"/>
        <v>0</v>
      </c>
      <c r="G21" s="135">
        <v>30</v>
      </c>
      <c r="H21" s="48">
        <f t="shared" si="2"/>
        <v>0</v>
      </c>
    </row>
    <row r="22" spans="1:8" x14ac:dyDescent="0.35">
      <c r="A22" s="38" t="s">
        <v>12</v>
      </c>
      <c r="B22" s="77">
        <f>0.5/100*B4</f>
        <v>0</v>
      </c>
      <c r="C22" s="40">
        <v>0.2</v>
      </c>
      <c r="D22" s="41">
        <f t="shared" si="0"/>
        <v>0</v>
      </c>
      <c r="E22" s="40">
        <v>0.3</v>
      </c>
      <c r="F22" s="42">
        <f t="shared" si="1"/>
        <v>0</v>
      </c>
      <c r="G22" s="124">
        <v>0.5</v>
      </c>
      <c r="H22" s="43">
        <f t="shared" si="2"/>
        <v>0</v>
      </c>
    </row>
    <row r="23" spans="1:8" x14ac:dyDescent="0.35">
      <c r="A23" s="26" t="s">
        <v>13</v>
      </c>
      <c r="B23" s="78">
        <f>0.5/100*B4</f>
        <v>0</v>
      </c>
      <c r="C23" s="28">
        <v>0.3</v>
      </c>
      <c r="D23" s="29">
        <f t="shared" si="0"/>
        <v>0</v>
      </c>
      <c r="E23" s="28">
        <v>0.4</v>
      </c>
      <c r="F23" s="37">
        <f t="shared" si="1"/>
        <v>0</v>
      </c>
      <c r="G23" s="133">
        <v>0.5</v>
      </c>
      <c r="H23" s="48">
        <f t="shared" si="2"/>
        <v>0</v>
      </c>
    </row>
    <row r="24" spans="1:8" x14ac:dyDescent="0.35">
      <c r="A24" s="38" t="s">
        <v>14</v>
      </c>
      <c r="B24" s="77">
        <f>0.5/100*B4</f>
        <v>0</v>
      </c>
      <c r="C24" s="40">
        <v>0.1</v>
      </c>
      <c r="D24" s="41">
        <f t="shared" si="0"/>
        <v>0</v>
      </c>
      <c r="E24" s="40">
        <v>0.3</v>
      </c>
      <c r="F24" s="42">
        <f t="shared" si="1"/>
        <v>0</v>
      </c>
      <c r="G24" s="124">
        <v>0.5</v>
      </c>
      <c r="H24" s="43">
        <f t="shared" si="2"/>
        <v>0</v>
      </c>
    </row>
    <row r="25" spans="1:8" x14ac:dyDescent="0.35">
      <c r="A25" s="26" t="s">
        <v>15</v>
      </c>
      <c r="B25" s="78">
        <f>1.2/100*B4</f>
        <v>0</v>
      </c>
      <c r="C25" s="28">
        <v>0.4</v>
      </c>
      <c r="D25" s="29">
        <f t="shared" si="0"/>
        <v>0</v>
      </c>
      <c r="E25" s="28">
        <v>0.5</v>
      </c>
      <c r="F25" s="37">
        <f t="shared" si="1"/>
        <v>0</v>
      </c>
      <c r="G25" s="133">
        <v>0.9</v>
      </c>
      <c r="H25" s="48">
        <f t="shared" si="2"/>
        <v>0</v>
      </c>
    </row>
    <row r="26" spans="1:8" x14ac:dyDescent="0.35">
      <c r="A26" s="38" t="s">
        <v>56</v>
      </c>
      <c r="B26" s="39">
        <f>2.2/100*B4</f>
        <v>0</v>
      </c>
      <c r="C26" s="40">
        <v>2</v>
      </c>
      <c r="D26" s="41">
        <f t="shared" si="0"/>
        <v>0</v>
      </c>
      <c r="E26" s="40">
        <v>4</v>
      </c>
      <c r="F26" s="42">
        <f t="shared" si="1"/>
        <v>0</v>
      </c>
      <c r="G26" s="131">
        <v>6</v>
      </c>
      <c r="H26" s="43">
        <f t="shared" si="2"/>
        <v>0</v>
      </c>
    </row>
    <row r="27" spans="1:8" x14ac:dyDescent="0.35">
      <c r="A27" s="26" t="s">
        <v>16</v>
      </c>
      <c r="B27" s="27">
        <f>55/100*B4</f>
        <v>0</v>
      </c>
      <c r="C27" s="28">
        <v>65</v>
      </c>
      <c r="D27" s="29">
        <f t="shared" si="0"/>
        <v>0</v>
      </c>
      <c r="E27" s="28">
        <v>80</v>
      </c>
      <c r="F27" s="37">
        <f t="shared" si="1"/>
        <v>0</v>
      </c>
      <c r="G27" s="134">
        <v>150</v>
      </c>
      <c r="H27" s="48">
        <f t="shared" si="2"/>
        <v>0</v>
      </c>
    </row>
    <row r="28" spans="1:8" x14ac:dyDescent="0.35">
      <c r="A28" s="38" t="s">
        <v>17</v>
      </c>
      <c r="B28" s="39">
        <f>2.8/100*B4</f>
        <v>0</v>
      </c>
      <c r="C28" s="40">
        <v>1.7</v>
      </c>
      <c r="D28" s="41">
        <f t="shared" si="0"/>
        <v>0</v>
      </c>
      <c r="E28" s="40">
        <v>1.8</v>
      </c>
      <c r="F28" s="42">
        <f t="shared" si="1"/>
        <v>0</v>
      </c>
      <c r="G28" s="136">
        <v>2</v>
      </c>
      <c r="H28" s="43">
        <f t="shared" si="2"/>
        <v>0</v>
      </c>
    </row>
    <row r="29" spans="1:8" x14ac:dyDescent="0.35">
      <c r="A29" s="26" t="s">
        <v>18</v>
      </c>
      <c r="B29" s="27">
        <f>18.2/100*B4</f>
        <v>0</v>
      </c>
      <c r="C29" s="28">
        <v>5</v>
      </c>
      <c r="D29" s="29">
        <f t="shared" si="0"/>
        <v>0</v>
      </c>
      <c r="E29" s="28">
        <v>6</v>
      </c>
      <c r="F29" s="37">
        <f t="shared" si="1"/>
        <v>0</v>
      </c>
      <c r="G29" s="135">
        <v>8</v>
      </c>
      <c r="H29" s="48">
        <f t="shared" si="2"/>
        <v>0</v>
      </c>
    </row>
    <row r="30" spans="1:8" x14ac:dyDescent="0.35">
      <c r="A30" s="38" t="s">
        <v>19</v>
      </c>
      <c r="B30" s="39">
        <f>49/100*B4</f>
        <v>0</v>
      </c>
      <c r="C30" s="40">
        <v>40</v>
      </c>
      <c r="D30" s="41">
        <f t="shared" si="0"/>
        <v>0</v>
      </c>
      <c r="E30" s="40">
        <v>50</v>
      </c>
      <c r="F30" s="42">
        <f t="shared" si="1"/>
        <v>0</v>
      </c>
      <c r="G30" s="131">
        <v>15</v>
      </c>
      <c r="H30" s="43">
        <f t="shared" si="2"/>
        <v>0</v>
      </c>
    </row>
    <row r="31" spans="1:8" x14ac:dyDescent="0.35">
      <c r="A31" s="26" t="s">
        <v>20</v>
      </c>
      <c r="B31" s="27">
        <f>91/100*B4</f>
        <v>0</v>
      </c>
      <c r="C31" s="28">
        <v>125</v>
      </c>
      <c r="D31" s="29">
        <f t="shared" si="0"/>
        <v>0</v>
      </c>
      <c r="E31" s="28">
        <v>150</v>
      </c>
      <c r="F31" s="37">
        <f t="shared" si="1"/>
        <v>0</v>
      </c>
      <c r="G31" s="135">
        <v>200</v>
      </c>
      <c r="H31" s="48">
        <f t="shared" si="2"/>
        <v>0</v>
      </c>
    </row>
    <row r="32" spans="1:8" ht="15" thickBot="1" x14ac:dyDescent="0.4">
      <c r="A32" s="79" t="s">
        <v>21</v>
      </c>
      <c r="B32" s="80">
        <f>98/100*B4</f>
        <v>0</v>
      </c>
      <c r="C32" s="81" t="s">
        <v>22</v>
      </c>
      <c r="D32" s="82"/>
      <c r="E32" s="81" t="s">
        <v>22</v>
      </c>
      <c r="F32" s="83"/>
      <c r="G32" s="122" t="s">
        <v>22</v>
      </c>
      <c r="H32" s="84"/>
    </row>
    <row r="33" spans="1:8" ht="37.5" customHeight="1" thickBot="1" x14ac:dyDescent="0.4">
      <c r="A33" s="341" t="s">
        <v>52</v>
      </c>
      <c r="B33" s="342"/>
      <c r="C33" s="74" t="s">
        <v>80</v>
      </c>
      <c r="D33" s="74" t="s">
        <v>58</v>
      </c>
      <c r="E33" s="19" t="s">
        <v>81</v>
      </c>
      <c r="F33" s="75" t="s">
        <v>59</v>
      </c>
      <c r="G33" s="143" t="s">
        <v>57</v>
      </c>
      <c r="H33" s="145" t="s">
        <v>60</v>
      </c>
    </row>
    <row r="34" spans="1:8" x14ac:dyDescent="0.35">
      <c r="A34" s="20" t="s">
        <v>24</v>
      </c>
      <c r="B34" s="85">
        <f>371/100*B4</f>
        <v>0</v>
      </c>
      <c r="C34" s="86">
        <v>200</v>
      </c>
      <c r="D34" s="87">
        <f t="shared" si="0"/>
        <v>0</v>
      </c>
      <c r="E34" s="86">
        <v>260</v>
      </c>
      <c r="F34" s="88">
        <f t="shared" ref="F34:F44" si="3">B34/E34</f>
        <v>0</v>
      </c>
      <c r="G34" s="142">
        <v>700</v>
      </c>
      <c r="H34" s="89">
        <f t="shared" ref="H34:H47" si="4">B34/G34</f>
        <v>0</v>
      </c>
    </row>
    <row r="35" spans="1:8" x14ac:dyDescent="0.35">
      <c r="A35" s="26" t="s">
        <v>25</v>
      </c>
      <c r="B35" s="44">
        <f>270/100*B4</f>
        <v>0</v>
      </c>
      <c r="C35" s="45">
        <v>100</v>
      </c>
      <c r="D35" s="46">
        <f t="shared" si="0"/>
        <v>0</v>
      </c>
      <c r="E35" s="45">
        <v>275</v>
      </c>
      <c r="F35" s="47">
        <f t="shared" si="3"/>
        <v>0</v>
      </c>
      <c r="G35" s="139">
        <v>460</v>
      </c>
      <c r="H35" s="48">
        <f t="shared" si="4"/>
        <v>0</v>
      </c>
    </row>
    <row r="36" spans="1:8" x14ac:dyDescent="0.35">
      <c r="A36" s="38" t="s">
        <v>26</v>
      </c>
      <c r="B36" s="90">
        <f>52.5/100*B4</f>
        <v>0</v>
      </c>
      <c r="C36" s="91">
        <v>30</v>
      </c>
      <c r="D36" s="92">
        <f t="shared" si="0"/>
        <v>0</v>
      </c>
      <c r="E36" s="91">
        <v>75</v>
      </c>
      <c r="F36" s="93">
        <f t="shared" si="3"/>
        <v>0</v>
      </c>
      <c r="G36" s="140">
        <v>80</v>
      </c>
      <c r="H36" s="94">
        <f t="shared" si="4"/>
        <v>0</v>
      </c>
    </row>
    <row r="37" spans="1:8" x14ac:dyDescent="0.35">
      <c r="A37" s="26" t="s">
        <v>27</v>
      </c>
      <c r="B37" s="44">
        <f>7.3/100*B4</f>
        <v>0</v>
      </c>
      <c r="C37" s="45">
        <v>0.27</v>
      </c>
      <c r="D37" s="46">
        <f t="shared" si="0"/>
        <v>0</v>
      </c>
      <c r="E37" s="95">
        <v>11</v>
      </c>
      <c r="F37" s="47">
        <f t="shared" si="3"/>
        <v>0</v>
      </c>
      <c r="G37" s="139">
        <v>7</v>
      </c>
      <c r="H37" s="48">
        <f t="shared" si="4"/>
        <v>0</v>
      </c>
    </row>
    <row r="38" spans="1:8" x14ac:dyDescent="0.35">
      <c r="A38" s="38" t="s">
        <v>28</v>
      </c>
      <c r="B38" s="90">
        <f>5.2/100*B4</f>
        <v>0</v>
      </c>
      <c r="C38" s="91">
        <v>2</v>
      </c>
      <c r="D38" s="92">
        <f t="shared" si="0"/>
        <v>0</v>
      </c>
      <c r="E38" s="96">
        <v>3</v>
      </c>
      <c r="F38" s="93">
        <f t="shared" si="3"/>
        <v>0</v>
      </c>
      <c r="G38" s="140">
        <v>3</v>
      </c>
      <c r="H38" s="94">
        <f t="shared" si="4"/>
        <v>0</v>
      </c>
    </row>
    <row r="39" spans="1:8" x14ac:dyDescent="0.35">
      <c r="A39" s="26" t="s">
        <v>29</v>
      </c>
      <c r="B39" s="97">
        <f>0.39/100*B4</f>
        <v>0</v>
      </c>
      <c r="C39" s="45">
        <v>3.0000000000000001E-3</v>
      </c>
      <c r="D39" s="46">
        <f t="shared" si="0"/>
        <v>0</v>
      </c>
      <c r="E39" s="45">
        <v>0.6</v>
      </c>
      <c r="F39" s="47">
        <f t="shared" si="3"/>
        <v>0</v>
      </c>
      <c r="G39" s="125">
        <v>1.2</v>
      </c>
      <c r="H39" s="48">
        <f t="shared" si="4"/>
        <v>0</v>
      </c>
    </row>
    <row r="40" spans="1:8" x14ac:dyDescent="0.35">
      <c r="A40" s="38" t="s">
        <v>30</v>
      </c>
      <c r="B40" s="90">
        <f>390/100*B4</f>
        <v>0</v>
      </c>
      <c r="C40" s="91">
        <v>200</v>
      </c>
      <c r="D40" s="92">
        <f t="shared" si="0"/>
        <v>0</v>
      </c>
      <c r="E40" s="91">
        <v>220</v>
      </c>
      <c r="F40" s="93">
        <f t="shared" si="3"/>
        <v>0</v>
      </c>
      <c r="G40" s="140">
        <v>340</v>
      </c>
      <c r="H40" s="94">
        <f t="shared" si="4"/>
        <v>0</v>
      </c>
    </row>
    <row r="41" spans="1:8" x14ac:dyDescent="0.35">
      <c r="A41" s="26" t="s">
        <v>31</v>
      </c>
      <c r="B41" s="44">
        <f>82.5/100*B4</f>
        <v>0</v>
      </c>
      <c r="C41" s="45">
        <v>110</v>
      </c>
      <c r="D41" s="46">
        <f t="shared" si="0"/>
        <v>0</v>
      </c>
      <c r="E41" s="45">
        <v>130</v>
      </c>
      <c r="F41" s="47">
        <f t="shared" si="3"/>
        <v>0</v>
      </c>
      <c r="G41" s="139">
        <v>90</v>
      </c>
      <c r="H41" s="48">
        <f t="shared" si="4"/>
        <v>0</v>
      </c>
    </row>
    <row r="42" spans="1:8" x14ac:dyDescent="0.35">
      <c r="A42" s="38" t="s">
        <v>32</v>
      </c>
      <c r="B42" s="90">
        <f>10.9/100*B4</f>
        <v>0</v>
      </c>
      <c r="C42" s="91">
        <v>2</v>
      </c>
      <c r="D42" s="92">
        <f t="shared" si="0"/>
        <v>0</v>
      </c>
      <c r="E42" s="91">
        <v>3</v>
      </c>
      <c r="F42" s="93">
        <f t="shared" si="3"/>
        <v>0</v>
      </c>
      <c r="G42" s="140">
        <v>17</v>
      </c>
      <c r="H42" s="94">
        <f t="shared" si="4"/>
        <v>0</v>
      </c>
    </row>
    <row r="43" spans="1:8" x14ac:dyDescent="0.35">
      <c r="A43" s="26" t="s">
        <v>33</v>
      </c>
      <c r="B43" s="44">
        <f>12.5/100*B4</f>
        <v>0</v>
      </c>
      <c r="C43" s="45">
        <v>0.2</v>
      </c>
      <c r="D43" s="46">
        <f t="shared" si="0"/>
        <v>0</v>
      </c>
      <c r="E43" s="45">
        <v>5.5</v>
      </c>
      <c r="F43" s="47">
        <f t="shared" si="3"/>
        <v>0</v>
      </c>
      <c r="G43" s="137">
        <v>11</v>
      </c>
      <c r="H43" s="48">
        <f t="shared" si="4"/>
        <v>0</v>
      </c>
    </row>
    <row r="44" spans="1:8" x14ac:dyDescent="0.35">
      <c r="A44" s="38" t="s">
        <v>34</v>
      </c>
      <c r="B44" s="90">
        <f>14.1/100*B4</f>
        <v>0</v>
      </c>
      <c r="C44" s="91">
        <v>15</v>
      </c>
      <c r="D44" s="92">
        <f t="shared" si="0"/>
        <v>0</v>
      </c>
      <c r="E44" s="91">
        <v>20</v>
      </c>
      <c r="F44" s="93">
        <f t="shared" si="3"/>
        <v>0</v>
      </c>
      <c r="G44" s="140">
        <v>20</v>
      </c>
      <c r="H44" s="94">
        <f t="shared" si="4"/>
        <v>0</v>
      </c>
    </row>
    <row r="45" spans="1:8" x14ac:dyDescent="0.35">
      <c r="A45" s="26" t="s">
        <v>35</v>
      </c>
      <c r="B45" s="44">
        <f>171/100*B4</f>
        <v>0</v>
      </c>
      <c r="C45" s="98">
        <v>110</v>
      </c>
      <c r="D45" s="46">
        <f>B45/C45</f>
        <v>0</v>
      </c>
      <c r="E45" s="98">
        <v>370</v>
      </c>
      <c r="F45" s="47">
        <f>B45/E45</f>
        <v>0</v>
      </c>
      <c r="G45" s="137">
        <v>800</v>
      </c>
      <c r="H45" s="48">
        <f t="shared" si="4"/>
        <v>0</v>
      </c>
    </row>
    <row r="46" spans="1:8" x14ac:dyDescent="0.35">
      <c r="A46" s="38" t="s">
        <v>36</v>
      </c>
      <c r="B46" s="90">
        <f>454/100*B4</f>
        <v>0</v>
      </c>
      <c r="C46" s="99">
        <v>400</v>
      </c>
      <c r="D46" s="92">
        <f>B46/C46</f>
        <v>0</v>
      </c>
      <c r="E46" s="99">
        <v>860</v>
      </c>
      <c r="F46" s="93">
        <f>B46/E46</f>
        <v>0</v>
      </c>
      <c r="G46" s="138">
        <v>2000</v>
      </c>
      <c r="H46" s="94">
        <f t="shared" si="4"/>
        <v>0</v>
      </c>
    </row>
    <row r="47" spans="1:8" ht="15" thickBot="1" x14ac:dyDescent="0.4">
      <c r="A47" s="100" t="s">
        <v>37</v>
      </c>
      <c r="B47" s="101">
        <f>321/100*B4</f>
        <v>0</v>
      </c>
      <c r="C47" s="102">
        <v>180</v>
      </c>
      <c r="D47" s="103">
        <f>B47/C47</f>
        <v>0</v>
      </c>
      <c r="E47" s="102">
        <v>570</v>
      </c>
      <c r="F47" s="104">
        <f>B47/E47</f>
        <v>0</v>
      </c>
      <c r="G47" s="141">
        <v>1500</v>
      </c>
      <c r="H47" s="105">
        <f t="shared" si="4"/>
        <v>0</v>
      </c>
    </row>
    <row r="48" spans="1:8" x14ac:dyDescent="0.35">
      <c r="A48" s="244" t="s">
        <v>62</v>
      </c>
    </row>
    <row r="49" spans="1:8" x14ac:dyDescent="0.35">
      <c r="A49" t="s">
        <v>63</v>
      </c>
    </row>
    <row r="50" spans="1:8" x14ac:dyDescent="0.35">
      <c r="A50" t="s">
        <v>61</v>
      </c>
      <c r="G50" s="245"/>
      <c r="H50" s="245"/>
    </row>
    <row r="51" spans="1:8" x14ac:dyDescent="0.35">
      <c r="A51" s="246" t="s">
        <v>105</v>
      </c>
    </row>
  </sheetData>
  <sheetProtection algorithmName="SHA-512" hashValue="hP5PwDxg/B3RS0ipsDj4ECtkinmfLD+58fuUI8ycfZ5isH22gFVqYpRiXEw1aNCPPD64NvRgpnDM2vrmlUaW8A==" saltValue="AP1t3PabBxCbIKjQxM5KYQ==" spinCount="100000" sheet="1" objects="1" scenarios="1"/>
  <mergeCells count="5">
    <mergeCell ref="A1:F1"/>
    <mergeCell ref="A3:B3"/>
    <mergeCell ref="A17:B17"/>
    <mergeCell ref="A33:B33"/>
    <mergeCell ref="C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FDD4-783A-4F35-A9ED-3F342FFDF8CC}">
  <sheetPr>
    <tabColor theme="5" tint="0.39997558519241921"/>
  </sheetPr>
  <dimension ref="A1:J50"/>
  <sheetViews>
    <sheetView showGridLines="0" zoomScale="90" zoomScaleNormal="90" workbookViewId="0">
      <selection activeCell="G16" sqref="G16"/>
    </sheetView>
  </sheetViews>
  <sheetFormatPr defaultColWidth="9.1796875" defaultRowHeight="14.5" x14ac:dyDescent="0.35"/>
  <cols>
    <col min="1" max="1" width="26" customWidth="1"/>
    <col min="2" max="2" width="12.54296875" customWidth="1"/>
    <col min="7" max="7" width="10.1796875" customWidth="1"/>
    <col min="8" max="9" width="10.54296875" customWidth="1"/>
    <col min="10" max="10" width="9.81640625" customWidth="1"/>
    <col min="11" max="11" width="4.26953125" customWidth="1"/>
  </cols>
  <sheetData>
    <row r="1" spans="1:10" ht="15" thickBot="1" x14ac:dyDescent="0.4">
      <c r="A1" s="247" t="s">
        <v>0</v>
      </c>
      <c r="B1" s="248" t="s">
        <v>1</v>
      </c>
      <c r="C1" s="248" t="s">
        <v>1</v>
      </c>
      <c r="D1" s="248" t="s">
        <v>1</v>
      </c>
      <c r="E1" s="248"/>
      <c r="F1" s="248"/>
      <c r="G1" s="249"/>
      <c r="H1" s="249"/>
      <c r="I1" s="249"/>
      <c r="J1" s="250"/>
    </row>
    <row r="2" spans="1:10" ht="75" customHeight="1" thickBot="1" x14ac:dyDescent="0.4">
      <c r="A2" s="251" t="s">
        <v>64</v>
      </c>
      <c r="B2" s="13">
        <v>0</v>
      </c>
      <c r="C2" s="346" t="s">
        <v>116</v>
      </c>
      <c r="D2" s="347"/>
      <c r="E2" s="347"/>
      <c r="F2" s="347"/>
      <c r="G2" s="348"/>
      <c r="H2" s="348"/>
      <c r="I2" s="348"/>
      <c r="J2" s="349"/>
    </row>
    <row r="3" spans="1:10" ht="44" thickBot="1" x14ac:dyDescent="0.4">
      <c r="A3" s="350" t="s">
        <v>102</v>
      </c>
      <c r="B3" s="351"/>
      <c r="C3" s="252" t="s">
        <v>73</v>
      </c>
      <c r="D3" s="252" t="s">
        <v>60</v>
      </c>
      <c r="E3" s="18" t="s">
        <v>74</v>
      </c>
      <c r="F3" s="253" t="s">
        <v>75</v>
      </c>
      <c r="G3" s="254" t="s">
        <v>76</v>
      </c>
      <c r="H3" s="254" t="s">
        <v>77</v>
      </c>
      <c r="I3" s="255" t="s">
        <v>78</v>
      </c>
      <c r="J3" s="255" t="s">
        <v>79</v>
      </c>
    </row>
    <row r="4" spans="1:10" x14ac:dyDescent="0.35">
      <c r="A4" s="295" t="s">
        <v>2</v>
      </c>
      <c r="B4" s="296">
        <f>B2*100/25</f>
        <v>0</v>
      </c>
      <c r="C4" s="163"/>
      <c r="D4" s="164"/>
      <c r="E4" s="163"/>
      <c r="F4" s="165"/>
      <c r="G4" s="153"/>
      <c r="H4" s="146"/>
      <c r="I4" s="146"/>
      <c r="J4" s="149"/>
    </row>
    <row r="5" spans="1:10" s="313" customFormat="1" x14ac:dyDescent="0.35">
      <c r="A5" s="314" t="s">
        <v>101</v>
      </c>
      <c r="B5" s="315">
        <f>(100/40)/100*B4</f>
        <v>0</v>
      </c>
      <c r="C5" s="316"/>
      <c r="D5" s="317"/>
      <c r="E5" s="316"/>
      <c r="F5" s="318"/>
      <c r="G5" s="319"/>
      <c r="H5" s="320"/>
      <c r="I5" s="320"/>
      <c r="J5" s="321"/>
    </row>
    <row r="6" spans="1:10" x14ac:dyDescent="0.35">
      <c r="A6" s="166" t="s">
        <v>3</v>
      </c>
      <c r="B6" s="167">
        <f>380/100*B4</f>
        <v>0</v>
      </c>
      <c r="C6" s="168"/>
      <c r="D6" s="169"/>
      <c r="E6" s="168"/>
      <c r="F6" s="170"/>
      <c r="G6" s="154"/>
      <c r="H6" s="147"/>
      <c r="I6" s="147"/>
      <c r="J6" s="150"/>
    </row>
    <row r="7" spans="1:10" x14ac:dyDescent="0.35">
      <c r="A7" s="171" t="s">
        <v>4</v>
      </c>
      <c r="B7" s="172">
        <f>B2</f>
        <v>0</v>
      </c>
      <c r="C7" s="173">
        <v>13</v>
      </c>
      <c r="D7" s="174">
        <f>B7/C7</f>
        <v>0</v>
      </c>
      <c r="E7" s="173">
        <v>19</v>
      </c>
      <c r="F7" s="175">
        <f>B7/E7</f>
        <v>0</v>
      </c>
      <c r="G7" s="176">
        <v>34</v>
      </c>
      <c r="H7" s="177">
        <f>B7/G7</f>
        <v>0</v>
      </c>
      <c r="I7" s="176">
        <v>34</v>
      </c>
      <c r="J7" s="178">
        <f>B7/I7</f>
        <v>0</v>
      </c>
    </row>
    <row r="8" spans="1:10" x14ac:dyDescent="0.35">
      <c r="A8" s="179" t="s">
        <v>5</v>
      </c>
      <c r="B8" s="180">
        <f>12/100*B4</f>
        <v>0</v>
      </c>
      <c r="C8" s="181"/>
      <c r="D8" s="182"/>
      <c r="E8" s="181"/>
      <c r="F8" s="183"/>
      <c r="G8" s="155"/>
      <c r="H8" s="148"/>
      <c r="I8" s="152"/>
      <c r="J8" s="184"/>
    </row>
    <row r="9" spans="1:10" x14ac:dyDescent="0.35">
      <c r="A9" s="256" t="s">
        <v>69</v>
      </c>
      <c r="B9" s="78">
        <f>2.8/100*B4</f>
        <v>0</v>
      </c>
      <c r="C9" s="28"/>
      <c r="D9" s="29"/>
      <c r="E9" s="28"/>
      <c r="F9" s="29"/>
      <c r="G9" s="155"/>
      <c r="H9" s="148"/>
      <c r="I9" s="152"/>
      <c r="J9" s="184"/>
    </row>
    <row r="10" spans="1:10" x14ac:dyDescent="0.35">
      <c r="A10" s="256" t="s">
        <v>70</v>
      </c>
      <c r="B10" s="78">
        <f>6.3/100*B4</f>
        <v>0</v>
      </c>
      <c r="C10" s="28"/>
      <c r="D10" s="29"/>
      <c r="E10" s="28"/>
      <c r="F10" s="29"/>
      <c r="G10" s="155"/>
      <c r="H10" s="148"/>
      <c r="I10" s="152"/>
      <c r="J10" s="184"/>
    </row>
    <row r="11" spans="1:10" x14ac:dyDescent="0.35">
      <c r="A11" s="256" t="s">
        <v>71</v>
      </c>
      <c r="B11" s="78">
        <f>2.7/100*B4</f>
        <v>0</v>
      </c>
      <c r="C11" s="28"/>
      <c r="D11" s="29"/>
      <c r="E11" s="28"/>
      <c r="F11" s="29"/>
      <c r="G11" s="155"/>
      <c r="H11" s="148"/>
      <c r="I11" s="152"/>
      <c r="J11" s="184"/>
    </row>
    <row r="12" spans="1:10" x14ac:dyDescent="0.35">
      <c r="A12" s="49" t="s">
        <v>99</v>
      </c>
      <c r="B12" s="50">
        <f>1733/100*B4</f>
        <v>0</v>
      </c>
      <c r="C12" s="28"/>
      <c r="D12" s="29"/>
      <c r="E12" s="28"/>
      <c r="F12" s="29"/>
      <c r="G12" s="156"/>
      <c r="H12" s="148"/>
      <c r="I12" s="152"/>
      <c r="J12" s="184"/>
    </row>
    <row r="13" spans="1:10" x14ac:dyDescent="0.35">
      <c r="A13" s="49" t="s">
        <v>100</v>
      </c>
      <c r="B13" s="50">
        <f>662/25*B2</f>
        <v>0</v>
      </c>
      <c r="C13" s="28"/>
      <c r="D13" s="29"/>
      <c r="E13" s="28"/>
      <c r="F13" s="29"/>
      <c r="G13" s="156"/>
      <c r="H13" s="148"/>
      <c r="I13" s="152"/>
      <c r="J13" s="184"/>
    </row>
    <row r="14" spans="1:10" x14ac:dyDescent="0.35">
      <c r="A14" s="38" t="s">
        <v>6</v>
      </c>
      <c r="B14" s="39">
        <f>47/100*B4</f>
        <v>0</v>
      </c>
      <c r="C14" s="185">
        <v>130</v>
      </c>
      <c r="D14" s="41">
        <f>B14/C14</f>
        <v>0</v>
      </c>
      <c r="E14" s="185">
        <v>130</v>
      </c>
      <c r="F14" s="41">
        <f>B14/E14</f>
        <v>0</v>
      </c>
      <c r="G14" s="176">
        <v>130</v>
      </c>
      <c r="H14" s="177">
        <f>B14/G14</f>
        <v>0</v>
      </c>
      <c r="I14" s="176">
        <v>130</v>
      </c>
      <c r="J14" s="178">
        <f>B14/I14</f>
        <v>0</v>
      </c>
    </row>
    <row r="15" spans="1:10" ht="15" thickBot="1" x14ac:dyDescent="0.4">
      <c r="A15" s="49" t="s">
        <v>72</v>
      </c>
      <c r="B15" s="50">
        <f>3.9/100*B4</f>
        <v>0</v>
      </c>
      <c r="C15" s="51">
        <v>19</v>
      </c>
      <c r="D15" s="52">
        <f>B15/C15</f>
        <v>0</v>
      </c>
      <c r="E15" s="51">
        <v>25</v>
      </c>
      <c r="F15" s="52">
        <f>B15/E15</f>
        <v>0</v>
      </c>
      <c r="G15" s="186">
        <v>31</v>
      </c>
      <c r="H15" s="187">
        <f>B15/G15</f>
        <v>0</v>
      </c>
      <c r="I15" s="186">
        <v>26</v>
      </c>
      <c r="J15" s="188">
        <f>B15/I15</f>
        <v>0</v>
      </c>
    </row>
    <row r="16" spans="1:10" ht="44" thickBot="1" x14ac:dyDescent="0.4">
      <c r="A16" s="352" t="s">
        <v>7</v>
      </c>
      <c r="B16" s="353"/>
      <c r="C16" s="252" t="s">
        <v>73</v>
      </c>
      <c r="D16" s="252" t="s">
        <v>60</v>
      </c>
      <c r="E16" s="18" t="s">
        <v>74</v>
      </c>
      <c r="F16" s="253" t="s">
        <v>75</v>
      </c>
      <c r="G16" s="254" t="s">
        <v>76</v>
      </c>
      <c r="H16" s="254" t="s">
        <v>77</v>
      </c>
      <c r="I16" s="255" t="s">
        <v>78</v>
      </c>
      <c r="J16" s="255" t="s">
        <v>79</v>
      </c>
    </row>
    <row r="17" spans="1:10" x14ac:dyDescent="0.35">
      <c r="A17" s="189" t="s">
        <v>8</v>
      </c>
      <c r="B17" s="236">
        <f>637/100*B4</f>
        <v>0</v>
      </c>
      <c r="C17" s="212">
        <v>300</v>
      </c>
      <c r="D17" s="190">
        <f t="shared" ref="D17:D43" si="0">B17/C17</f>
        <v>0</v>
      </c>
      <c r="E17" s="212">
        <v>400</v>
      </c>
      <c r="F17" s="191">
        <f t="shared" ref="F17:F30" si="1">B17/E17</f>
        <v>0</v>
      </c>
      <c r="G17" s="215">
        <v>600</v>
      </c>
      <c r="H17" s="192">
        <f>B17/G17</f>
        <v>0</v>
      </c>
      <c r="I17" s="215">
        <v>600</v>
      </c>
      <c r="J17" s="193">
        <f>B17/I17</f>
        <v>0</v>
      </c>
    </row>
    <row r="18" spans="1:10" x14ac:dyDescent="0.35">
      <c r="A18" s="166" t="s">
        <v>9</v>
      </c>
      <c r="B18" s="167">
        <f>15/100*B4</f>
        <v>0</v>
      </c>
      <c r="C18" s="213">
        <v>15</v>
      </c>
      <c r="D18" s="194">
        <f t="shared" si="0"/>
        <v>0</v>
      </c>
      <c r="E18" s="213">
        <v>15</v>
      </c>
      <c r="F18" s="170">
        <f t="shared" si="1"/>
        <v>0</v>
      </c>
      <c r="G18" s="216">
        <v>15</v>
      </c>
      <c r="H18" s="157">
        <f t="shared" ref="H18:H30" si="2">B18/G18</f>
        <v>0</v>
      </c>
      <c r="I18" s="216">
        <v>15</v>
      </c>
      <c r="J18" s="160">
        <f t="shared" ref="J18:J30" si="3">B18/I18</f>
        <v>0</v>
      </c>
    </row>
    <row r="19" spans="1:10" x14ac:dyDescent="0.35">
      <c r="A19" s="171" t="s">
        <v>10</v>
      </c>
      <c r="B19" s="172">
        <f>12.3/100*B4</f>
        <v>0</v>
      </c>
      <c r="C19" s="173">
        <v>6</v>
      </c>
      <c r="D19" s="174">
        <f t="shared" si="0"/>
        <v>0</v>
      </c>
      <c r="E19" s="173">
        <v>7</v>
      </c>
      <c r="F19" s="175">
        <f t="shared" si="1"/>
        <v>0</v>
      </c>
      <c r="G19" s="217">
        <v>11</v>
      </c>
      <c r="H19" s="177">
        <f t="shared" si="2"/>
        <v>0</v>
      </c>
      <c r="I19" s="217">
        <v>11</v>
      </c>
      <c r="J19" s="178">
        <f t="shared" si="3"/>
        <v>0</v>
      </c>
    </row>
    <row r="20" spans="1:10" x14ac:dyDescent="0.35">
      <c r="A20" s="166" t="s">
        <v>11</v>
      </c>
      <c r="B20" s="167">
        <f>50/100*B4</f>
        <v>0</v>
      </c>
      <c r="C20" s="168">
        <v>30</v>
      </c>
      <c r="D20" s="194">
        <f t="shared" si="0"/>
        <v>0</v>
      </c>
      <c r="E20" s="168">
        <v>55</v>
      </c>
      <c r="F20" s="170">
        <f t="shared" si="1"/>
        <v>0</v>
      </c>
      <c r="G20" s="218">
        <v>60</v>
      </c>
      <c r="H20" s="157">
        <f t="shared" si="2"/>
        <v>0</v>
      </c>
      <c r="I20" s="218">
        <v>60</v>
      </c>
      <c r="J20" s="160">
        <f t="shared" si="3"/>
        <v>0</v>
      </c>
    </row>
    <row r="21" spans="1:10" x14ac:dyDescent="0.35">
      <c r="A21" s="171" t="s">
        <v>12</v>
      </c>
      <c r="B21" s="195">
        <f>1.5/100*B4</f>
        <v>0</v>
      </c>
      <c r="C21" s="173">
        <v>0.5</v>
      </c>
      <c r="D21" s="174">
        <f t="shared" si="0"/>
        <v>0</v>
      </c>
      <c r="E21" s="173">
        <v>0.6</v>
      </c>
      <c r="F21" s="175">
        <f t="shared" si="1"/>
        <v>0</v>
      </c>
      <c r="G21" s="219">
        <v>0.9</v>
      </c>
      <c r="H21" s="177">
        <f t="shared" si="2"/>
        <v>0</v>
      </c>
      <c r="I21" s="219">
        <v>0.9</v>
      </c>
      <c r="J21" s="178">
        <f t="shared" si="3"/>
        <v>0</v>
      </c>
    </row>
    <row r="22" spans="1:10" x14ac:dyDescent="0.35">
      <c r="A22" s="166" t="s">
        <v>13</v>
      </c>
      <c r="B22" s="196">
        <f>1.5/100*B4</f>
        <v>0</v>
      </c>
      <c r="C22" s="213">
        <v>0.5</v>
      </c>
      <c r="D22" s="194">
        <f t="shared" si="0"/>
        <v>0</v>
      </c>
      <c r="E22" s="213">
        <v>0.6</v>
      </c>
      <c r="F22" s="170">
        <f t="shared" si="1"/>
        <v>0</v>
      </c>
      <c r="G22" s="220">
        <v>0.9</v>
      </c>
      <c r="H22" s="197">
        <f t="shared" si="2"/>
        <v>0</v>
      </c>
      <c r="I22" s="220">
        <v>0.9</v>
      </c>
      <c r="J22" s="198">
        <f t="shared" si="3"/>
        <v>0</v>
      </c>
    </row>
    <row r="23" spans="1:10" x14ac:dyDescent="0.35">
      <c r="A23" s="171" t="s">
        <v>14</v>
      </c>
      <c r="B23" s="195">
        <f>1.3/100*B4</f>
        <v>0</v>
      </c>
      <c r="C23" s="173">
        <v>0.5</v>
      </c>
      <c r="D23" s="174">
        <f t="shared" si="0"/>
        <v>0</v>
      </c>
      <c r="E23" s="173">
        <v>0.6</v>
      </c>
      <c r="F23" s="175">
        <f t="shared" si="1"/>
        <v>0</v>
      </c>
      <c r="G23" s="219">
        <v>1</v>
      </c>
      <c r="H23" s="177">
        <f t="shared" si="2"/>
        <v>0</v>
      </c>
      <c r="I23" s="219">
        <v>1</v>
      </c>
      <c r="J23" s="178">
        <f t="shared" si="3"/>
        <v>0</v>
      </c>
    </row>
    <row r="24" spans="1:10" x14ac:dyDescent="0.35">
      <c r="A24" s="166" t="s">
        <v>15</v>
      </c>
      <c r="B24" s="196">
        <f>2/100*B4</f>
        <v>0</v>
      </c>
      <c r="C24" s="213">
        <v>0.9</v>
      </c>
      <c r="D24" s="194">
        <f t="shared" si="0"/>
        <v>0</v>
      </c>
      <c r="E24" s="213">
        <v>1.2</v>
      </c>
      <c r="F24" s="170">
        <f t="shared" si="1"/>
        <v>0</v>
      </c>
      <c r="G24" s="220">
        <v>1.8</v>
      </c>
      <c r="H24" s="197">
        <f t="shared" si="2"/>
        <v>0</v>
      </c>
      <c r="I24" s="220">
        <v>1.8</v>
      </c>
      <c r="J24" s="198">
        <f t="shared" si="3"/>
        <v>0</v>
      </c>
    </row>
    <row r="25" spans="1:10" x14ac:dyDescent="0.35">
      <c r="A25" s="171" t="s">
        <v>56</v>
      </c>
      <c r="B25" s="195">
        <f>12/100*B4</f>
        <v>0</v>
      </c>
      <c r="C25" s="173">
        <v>6</v>
      </c>
      <c r="D25" s="174">
        <f t="shared" si="0"/>
        <v>0</v>
      </c>
      <c r="E25" s="173">
        <v>8</v>
      </c>
      <c r="F25" s="175">
        <f t="shared" si="1"/>
        <v>0</v>
      </c>
      <c r="G25" s="217">
        <v>12</v>
      </c>
      <c r="H25" s="177">
        <f t="shared" si="2"/>
        <v>0</v>
      </c>
      <c r="I25" s="217">
        <v>12</v>
      </c>
      <c r="J25" s="178">
        <f t="shared" si="3"/>
        <v>0</v>
      </c>
    </row>
    <row r="26" spans="1:10" x14ac:dyDescent="0.35">
      <c r="A26" s="166" t="s">
        <v>16</v>
      </c>
      <c r="B26" s="167">
        <f>250/100*B4</f>
        <v>0</v>
      </c>
      <c r="C26" s="213">
        <v>150</v>
      </c>
      <c r="D26" s="194">
        <f t="shared" si="0"/>
        <v>0</v>
      </c>
      <c r="E26" s="213">
        <v>200</v>
      </c>
      <c r="F26" s="170">
        <f t="shared" si="1"/>
        <v>0</v>
      </c>
      <c r="G26" s="221">
        <v>300</v>
      </c>
      <c r="H26" s="197">
        <f t="shared" si="2"/>
        <v>0</v>
      </c>
      <c r="I26" s="221">
        <v>300</v>
      </c>
      <c r="J26" s="198">
        <f t="shared" si="3"/>
        <v>0</v>
      </c>
    </row>
    <row r="27" spans="1:10" x14ac:dyDescent="0.35">
      <c r="A27" s="171" t="s">
        <v>17</v>
      </c>
      <c r="B27" s="172">
        <f>5.5/100*B4</f>
        <v>0</v>
      </c>
      <c r="C27" s="214">
        <v>2</v>
      </c>
      <c r="D27" s="174">
        <f t="shared" si="0"/>
        <v>0</v>
      </c>
      <c r="E27" s="214">
        <v>3</v>
      </c>
      <c r="F27" s="175">
        <f t="shared" si="1"/>
        <v>0</v>
      </c>
      <c r="G27" s="222">
        <v>4</v>
      </c>
      <c r="H27" s="158">
        <f t="shared" si="2"/>
        <v>0</v>
      </c>
      <c r="I27" s="222">
        <v>4</v>
      </c>
      <c r="J27" s="161">
        <f t="shared" si="3"/>
        <v>0</v>
      </c>
    </row>
    <row r="28" spans="1:10" x14ac:dyDescent="0.35">
      <c r="A28" s="166" t="s">
        <v>18</v>
      </c>
      <c r="B28" s="167">
        <f>30/100*B4</f>
        <v>0</v>
      </c>
      <c r="C28" s="168">
        <v>8</v>
      </c>
      <c r="D28" s="194">
        <f t="shared" si="0"/>
        <v>0</v>
      </c>
      <c r="E28" s="168">
        <v>12</v>
      </c>
      <c r="F28" s="170">
        <f t="shared" si="1"/>
        <v>0</v>
      </c>
      <c r="G28" s="218">
        <v>20</v>
      </c>
      <c r="H28" s="157">
        <f t="shared" si="2"/>
        <v>0</v>
      </c>
      <c r="I28" s="218">
        <v>20</v>
      </c>
      <c r="J28" s="160">
        <f t="shared" si="3"/>
        <v>0</v>
      </c>
    </row>
    <row r="29" spans="1:10" x14ac:dyDescent="0.35">
      <c r="A29" s="171" t="s">
        <v>19</v>
      </c>
      <c r="B29" s="172">
        <f>60/100*B4</f>
        <v>0</v>
      </c>
      <c r="C29" s="173">
        <v>15</v>
      </c>
      <c r="D29" s="174">
        <f t="shared" si="0"/>
        <v>0</v>
      </c>
      <c r="E29" s="173">
        <v>25</v>
      </c>
      <c r="F29" s="175">
        <f t="shared" si="1"/>
        <v>0</v>
      </c>
      <c r="G29" s="217">
        <v>45</v>
      </c>
      <c r="H29" s="177">
        <f t="shared" si="2"/>
        <v>0</v>
      </c>
      <c r="I29" s="217">
        <v>45</v>
      </c>
      <c r="J29" s="178">
        <f t="shared" si="3"/>
        <v>0</v>
      </c>
    </row>
    <row r="30" spans="1:10" x14ac:dyDescent="0.35">
      <c r="A30" s="166" t="s">
        <v>20</v>
      </c>
      <c r="B30" s="167">
        <f>100/100*B4</f>
        <v>0</v>
      </c>
      <c r="C30" s="181">
        <v>200</v>
      </c>
      <c r="D30" s="182">
        <f t="shared" si="0"/>
        <v>0</v>
      </c>
      <c r="E30" s="181">
        <v>250</v>
      </c>
      <c r="F30" s="183">
        <f t="shared" si="1"/>
        <v>0</v>
      </c>
      <c r="G30" s="218">
        <v>375</v>
      </c>
      <c r="H30" s="157">
        <f t="shared" si="2"/>
        <v>0</v>
      </c>
      <c r="I30" s="218">
        <v>375</v>
      </c>
      <c r="J30" s="160">
        <f t="shared" si="3"/>
        <v>0</v>
      </c>
    </row>
    <row r="31" spans="1:10" ht="15" thickBot="1" x14ac:dyDescent="0.4">
      <c r="A31" s="199" t="s">
        <v>21</v>
      </c>
      <c r="B31" s="200">
        <f>40/100*B4</f>
        <v>0</v>
      </c>
      <c r="C31" s="224" t="s">
        <v>22</v>
      </c>
      <c r="D31" s="225"/>
      <c r="E31" s="224" t="s">
        <v>22</v>
      </c>
      <c r="F31" s="226"/>
      <c r="G31" s="223" t="s">
        <v>22</v>
      </c>
      <c r="H31" s="159"/>
      <c r="I31" s="223" t="s">
        <v>22</v>
      </c>
      <c r="J31" s="162"/>
    </row>
    <row r="32" spans="1:10" ht="44" thickBot="1" x14ac:dyDescent="0.4">
      <c r="A32" s="339" t="s">
        <v>23</v>
      </c>
      <c r="B32" s="340"/>
      <c r="C32" s="252" t="s">
        <v>73</v>
      </c>
      <c r="D32" s="252" t="s">
        <v>60</v>
      </c>
      <c r="E32" s="18" t="s">
        <v>74</v>
      </c>
      <c r="F32" s="253" t="s">
        <v>75</v>
      </c>
      <c r="G32" s="257" t="s">
        <v>76</v>
      </c>
      <c r="H32" s="257" t="s">
        <v>77</v>
      </c>
      <c r="I32" s="258" t="s">
        <v>78</v>
      </c>
      <c r="J32" s="258" t="s">
        <v>79</v>
      </c>
    </row>
    <row r="33" spans="1:10" x14ac:dyDescent="0.35">
      <c r="A33" s="189" t="s">
        <v>24</v>
      </c>
      <c r="B33" s="236">
        <f>886/100*B4</f>
        <v>0</v>
      </c>
      <c r="C33" s="212">
        <v>700</v>
      </c>
      <c r="D33" s="190">
        <f t="shared" si="0"/>
        <v>0</v>
      </c>
      <c r="E33" s="212">
        <v>1000</v>
      </c>
      <c r="F33" s="191">
        <f t="shared" ref="F33:F43" si="4">B33/E33</f>
        <v>0</v>
      </c>
      <c r="G33" s="233">
        <v>1300</v>
      </c>
      <c r="H33" s="203">
        <f>B33/G33</f>
        <v>0</v>
      </c>
      <c r="I33" s="233">
        <v>1300</v>
      </c>
      <c r="J33" s="204">
        <f>B33/I33</f>
        <v>0</v>
      </c>
    </row>
    <row r="34" spans="1:10" x14ac:dyDescent="0.35">
      <c r="A34" s="166" t="s">
        <v>25</v>
      </c>
      <c r="B34" s="237">
        <f>864/100*B4</f>
        <v>0</v>
      </c>
      <c r="C34" s="213">
        <v>460</v>
      </c>
      <c r="D34" s="194">
        <f t="shared" si="0"/>
        <v>0</v>
      </c>
      <c r="E34" s="213">
        <v>500</v>
      </c>
      <c r="F34" s="170">
        <f t="shared" si="4"/>
        <v>0</v>
      </c>
      <c r="G34" s="221">
        <v>1250</v>
      </c>
      <c r="H34" s="197">
        <f t="shared" ref="H34:H46" si="5">B34/G34</f>
        <v>0</v>
      </c>
      <c r="I34" s="221">
        <v>1250</v>
      </c>
      <c r="J34" s="198">
        <f t="shared" ref="J34:J46" si="6">B34/I34</f>
        <v>0</v>
      </c>
    </row>
    <row r="35" spans="1:10" x14ac:dyDescent="0.35">
      <c r="A35" s="171" t="s">
        <v>26</v>
      </c>
      <c r="B35" s="172">
        <f>200/100*B4</f>
        <v>0</v>
      </c>
      <c r="C35" s="173">
        <v>80</v>
      </c>
      <c r="D35" s="174">
        <f t="shared" si="0"/>
        <v>0</v>
      </c>
      <c r="E35" s="173">
        <v>130</v>
      </c>
      <c r="F35" s="175">
        <f t="shared" si="4"/>
        <v>0</v>
      </c>
      <c r="G35" s="217">
        <v>240</v>
      </c>
      <c r="H35" s="177">
        <f t="shared" si="5"/>
        <v>0</v>
      </c>
      <c r="I35" s="217">
        <v>240</v>
      </c>
      <c r="J35" s="178">
        <f t="shared" si="6"/>
        <v>0</v>
      </c>
    </row>
    <row r="36" spans="1:10" x14ac:dyDescent="0.35">
      <c r="A36" s="166" t="s">
        <v>27</v>
      </c>
      <c r="B36" s="167">
        <f>13/100*B4</f>
        <v>0</v>
      </c>
      <c r="C36" s="213">
        <v>7</v>
      </c>
      <c r="D36" s="194">
        <f t="shared" si="0"/>
        <v>0</v>
      </c>
      <c r="E36" s="213">
        <v>10</v>
      </c>
      <c r="F36" s="170">
        <f t="shared" si="4"/>
        <v>0</v>
      </c>
      <c r="G36" s="221">
        <v>8</v>
      </c>
      <c r="H36" s="197">
        <f t="shared" si="5"/>
        <v>0</v>
      </c>
      <c r="I36" s="221">
        <v>8</v>
      </c>
      <c r="J36" s="198">
        <f t="shared" si="6"/>
        <v>0</v>
      </c>
    </row>
    <row r="37" spans="1:10" x14ac:dyDescent="0.35">
      <c r="A37" s="171" t="s">
        <v>28</v>
      </c>
      <c r="B37" s="172">
        <f>12/100*B4</f>
        <v>0</v>
      </c>
      <c r="C37" s="173">
        <v>3</v>
      </c>
      <c r="D37" s="174">
        <f t="shared" si="0"/>
        <v>0</v>
      </c>
      <c r="E37" s="173">
        <v>5</v>
      </c>
      <c r="F37" s="175">
        <f t="shared" si="4"/>
        <v>0</v>
      </c>
      <c r="G37" s="217">
        <v>8</v>
      </c>
      <c r="H37" s="177">
        <f t="shared" si="5"/>
        <v>0</v>
      </c>
      <c r="I37" s="217">
        <v>8</v>
      </c>
      <c r="J37" s="178">
        <f t="shared" si="6"/>
        <v>0</v>
      </c>
    </row>
    <row r="38" spans="1:10" x14ac:dyDescent="0.35">
      <c r="A38" s="166" t="s">
        <v>29</v>
      </c>
      <c r="B38" s="196">
        <f>1.5/100*B4</f>
        <v>0</v>
      </c>
      <c r="C38" s="168">
        <v>1.2</v>
      </c>
      <c r="D38" s="194">
        <f t="shared" si="0"/>
        <v>0</v>
      </c>
      <c r="E38" s="168">
        <v>1.5</v>
      </c>
      <c r="F38" s="170">
        <f t="shared" si="4"/>
        <v>0</v>
      </c>
      <c r="G38" s="234">
        <v>1.9</v>
      </c>
      <c r="H38" s="157">
        <f t="shared" si="5"/>
        <v>0</v>
      </c>
      <c r="I38" s="234">
        <v>1.6</v>
      </c>
      <c r="J38" s="160">
        <f t="shared" si="6"/>
        <v>0</v>
      </c>
    </row>
    <row r="39" spans="1:10" x14ac:dyDescent="0.35">
      <c r="A39" s="171" t="s">
        <v>30</v>
      </c>
      <c r="B39" s="238">
        <f>1000/100*B4</f>
        <v>0</v>
      </c>
      <c r="C39" s="173">
        <v>340</v>
      </c>
      <c r="D39" s="174">
        <f t="shared" si="0"/>
        <v>0</v>
      </c>
      <c r="E39" s="173">
        <v>440</v>
      </c>
      <c r="F39" s="175">
        <f t="shared" si="4"/>
        <v>0</v>
      </c>
      <c r="G39" s="217">
        <v>700</v>
      </c>
      <c r="H39" s="177">
        <f t="shared" si="5"/>
        <v>0</v>
      </c>
      <c r="I39" s="217">
        <v>700</v>
      </c>
      <c r="J39" s="178">
        <f t="shared" si="6"/>
        <v>0</v>
      </c>
    </row>
    <row r="40" spans="1:10" x14ac:dyDescent="0.35">
      <c r="A40" s="166" t="s">
        <v>31</v>
      </c>
      <c r="B40" s="167">
        <f>120/100*B4</f>
        <v>0</v>
      </c>
      <c r="C40" s="213">
        <v>90</v>
      </c>
      <c r="D40" s="194">
        <f t="shared" si="0"/>
        <v>0</v>
      </c>
      <c r="E40" s="213">
        <v>90</v>
      </c>
      <c r="F40" s="170">
        <f t="shared" si="4"/>
        <v>0</v>
      </c>
      <c r="G40" s="221">
        <v>120</v>
      </c>
      <c r="H40" s="197">
        <f t="shared" si="5"/>
        <v>0</v>
      </c>
      <c r="I40" s="221">
        <v>120</v>
      </c>
      <c r="J40" s="198">
        <f t="shared" si="6"/>
        <v>0</v>
      </c>
    </row>
    <row r="41" spans="1:10" x14ac:dyDescent="0.35">
      <c r="A41" s="171" t="s">
        <v>32</v>
      </c>
      <c r="B41" s="172">
        <f>75/100*B4</f>
        <v>0</v>
      </c>
      <c r="C41" s="173">
        <v>17</v>
      </c>
      <c r="D41" s="174">
        <f t="shared" si="0"/>
        <v>0</v>
      </c>
      <c r="E41" s="173">
        <v>22</v>
      </c>
      <c r="F41" s="175">
        <f t="shared" si="4"/>
        <v>0</v>
      </c>
      <c r="G41" s="217">
        <v>34</v>
      </c>
      <c r="H41" s="177">
        <f t="shared" si="5"/>
        <v>0</v>
      </c>
      <c r="I41" s="217">
        <v>34</v>
      </c>
      <c r="J41" s="178">
        <f t="shared" si="6"/>
        <v>0</v>
      </c>
    </row>
    <row r="42" spans="1:10" x14ac:dyDescent="0.35">
      <c r="A42" s="166" t="s">
        <v>33</v>
      </c>
      <c r="B42" s="167">
        <f>40/100*B4</f>
        <v>0</v>
      </c>
      <c r="C42" s="168">
        <v>11</v>
      </c>
      <c r="D42" s="194">
        <f t="shared" si="0"/>
        <v>0</v>
      </c>
      <c r="E42" s="168">
        <v>15</v>
      </c>
      <c r="F42" s="170">
        <f t="shared" si="4"/>
        <v>0</v>
      </c>
      <c r="G42" s="218">
        <v>25</v>
      </c>
      <c r="H42" s="157">
        <f t="shared" si="5"/>
        <v>0</v>
      </c>
      <c r="I42" s="218">
        <v>21</v>
      </c>
      <c r="J42" s="160">
        <f t="shared" si="6"/>
        <v>0</v>
      </c>
    </row>
    <row r="43" spans="1:10" x14ac:dyDescent="0.35">
      <c r="A43" s="171" t="s">
        <v>34</v>
      </c>
      <c r="B43" s="172">
        <f>100/100*B4</f>
        <v>0</v>
      </c>
      <c r="C43" s="229">
        <v>20</v>
      </c>
      <c r="D43" s="227">
        <f t="shared" si="0"/>
        <v>0</v>
      </c>
      <c r="E43" s="229">
        <v>30</v>
      </c>
      <c r="F43" s="228">
        <f t="shared" si="4"/>
        <v>0</v>
      </c>
      <c r="G43" s="217">
        <v>40</v>
      </c>
      <c r="H43" s="177">
        <f t="shared" si="5"/>
        <v>0</v>
      </c>
      <c r="I43" s="217">
        <v>40</v>
      </c>
      <c r="J43" s="178">
        <f t="shared" si="6"/>
        <v>0</v>
      </c>
    </row>
    <row r="44" spans="1:10" x14ac:dyDescent="0.35">
      <c r="A44" s="166" t="s">
        <v>35</v>
      </c>
      <c r="B44" s="237">
        <f>600/100*B4</f>
        <v>0</v>
      </c>
      <c r="C44" s="230">
        <v>800</v>
      </c>
      <c r="D44" s="207">
        <f>B44/C44</f>
        <v>0</v>
      </c>
      <c r="E44" s="230">
        <v>1000</v>
      </c>
      <c r="F44" s="208">
        <f>B44/E44</f>
        <v>0</v>
      </c>
      <c r="G44" s="218">
        <v>1200</v>
      </c>
      <c r="H44" s="157">
        <f t="shared" si="5"/>
        <v>0</v>
      </c>
      <c r="I44" s="218">
        <v>1200</v>
      </c>
      <c r="J44" s="160">
        <f t="shared" si="6"/>
        <v>0</v>
      </c>
    </row>
    <row r="45" spans="1:10" x14ac:dyDescent="0.35">
      <c r="A45" s="199" t="s">
        <v>36</v>
      </c>
      <c r="B45" s="239">
        <f>1301/100*B4</f>
        <v>0</v>
      </c>
      <c r="C45" s="231">
        <v>2000</v>
      </c>
      <c r="D45" s="201">
        <f>B45/C45</f>
        <v>0</v>
      </c>
      <c r="E45" s="231">
        <v>2300</v>
      </c>
      <c r="F45" s="202">
        <f>B45/E45</f>
        <v>0</v>
      </c>
      <c r="G45" s="222">
        <v>2500</v>
      </c>
      <c r="H45" s="158">
        <f t="shared" si="5"/>
        <v>0</v>
      </c>
      <c r="I45" s="222">
        <v>2300</v>
      </c>
      <c r="J45" s="161">
        <f t="shared" si="6"/>
        <v>0</v>
      </c>
    </row>
    <row r="46" spans="1:10" ht="15" thickBot="1" x14ac:dyDescent="0.4">
      <c r="A46" s="209" t="s">
        <v>37</v>
      </c>
      <c r="B46" s="240">
        <f>860/100*B4</f>
        <v>0</v>
      </c>
      <c r="C46" s="232">
        <v>1500</v>
      </c>
      <c r="D46" s="210">
        <f>B46/C46</f>
        <v>0</v>
      </c>
      <c r="E46" s="232">
        <v>1900</v>
      </c>
      <c r="F46" s="211">
        <f>B46/E46</f>
        <v>0</v>
      </c>
      <c r="G46" s="235">
        <v>2300</v>
      </c>
      <c r="H46" s="205">
        <f t="shared" si="5"/>
        <v>0</v>
      </c>
      <c r="I46" s="235">
        <v>2300</v>
      </c>
      <c r="J46" s="206">
        <f t="shared" si="6"/>
        <v>0</v>
      </c>
    </row>
    <row r="47" spans="1:10" x14ac:dyDescent="0.35">
      <c r="A47" s="244" t="s">
        <v>62</v>
      </c>
    </row>
    <row r="48" spans="1:10" x14ac:dyDescent="0.35">
      <c r="A48" t="s">
        <v>63</v>
      </c>
    </row>
    <row r="49" spans="1:1" x14ac:dyDescent="0.35">
      <c r="A49" t="s">
        <v>61</v>
      </c>
    </row>
    <row r="50" spans="1:1" x14ac:dyDescent="0.35">
      <c r="A50" s="246" t="s">
        <v>107</v>
      </c>
    </row>
  </sheetData>
  <sheetProtection algorithmName="SHA-512" hashValue="eWryrlHD/2gGZkjt/Au4Zr3MGkgeMQxeuKGlb9gBiGrGLI3sa4KfYzbfbcEnJTb0c7iupkGlEP91pF1fF7BbVA==" saltValue="/crjCry5U1nkdWj2DrR7zQ==" spinCount="100000" sheet="1" objects="1" scenarios="1"/>
  <mergeCells count="4">
    <mergeCell ref="C2:J2"/>
    <mergeCell ref="A3:B3"/>
    <mergeCell ref="A16:B16"/>
    <mergeCell ref="A32:B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27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1796875" customWidth="1"/>
    <col min="11" max="11" width="10.26953125" customWidth="1"/>
    <col min="12" max="12" width="7.81640625" customWidth="1"/>
  </cols>
  <sheetData>
    <row r="1" spans="1:13" ht="45" customHeight="1" x14ac:dyDescent="0.35">
      <c r="A1" s="359" t="s">
        <v>88</v>
      </c>
      <c r="B1" s="360"/>
      <c r="C1" s="259"/>
      <c r="D1" s="369" t="s">
        <v>115</v>
      </c>
      <c r="E1" s="370"/>
      <c r="F1" s="370"/>
      <c r="G1" s="370"/>
      <c r="H1" s="370"/>
      <c r="I1" s="259"/>
      <c r="J1" s="259"/>
    </row>
    <row r="2" spans="1:13" ht="45" customHeight="1" thickBot="1" x14ac:dyDescent="0.4">
      <c r="A2" s="14">
        <v>0</v>
      </c>
      <c r="D2" s="371"/>
      <c r="E2" s="371"/>
      <c r="F2" s="371"/>
      <c r="G2" s="371"/>
      <c r="H2" s="371"/>
    </row>
    <row r="3" spans="1:13" x14ac:dyDescent="0.3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15" thickBot="1" x14ac:dyDescent="0.4">
      <c r="A4" s="262"/>
      <c r="M4" s="301"/>
    </row>
    <row r="5" spans="1:13" x14ac:dyDescent="0.35">
      <c r="A5" s="361" t="s">
        <v>83</v>
      </c>
      <c r="B5" s="364" t="s">
        <v>82</v>
      </c>
      <c r="C5" s="364"/>
      <c r="D5" s="364"/>
      <c r="E5" s="364"/>
      <c r="F5" s="364"/>
      <c r="G5" s="364"/>
      <c r="H5" s="364"/>
      <c r="I5" s="364"/>
      <c r="J5" s="364"/>
      <c r="K5" s="364"/>
      <c r="L5" s="302"/>
      <c r="M5" s="9"/>
    </row>
    <row r="6" spans="1:13" x14ac:dyDescent="0.35">
      <c r="A6" s="362"/>
      <c r="B6" s="263"/>
      <c r="C6" s="264" t="s">
        <v>38</v>
      </c>
      <c r="D6" s="264" t="s">
        <v>39</v>
      </c>
      <c r="E6" s="264" t="s">
        <v>40</v>
      </c>
      <c r="F6" s="264" t="s">
        <v>41</v>
      </c>
      <c r="G6" s="264" t="s">
        <v>42</v>
      </c>
      <c r="H6" s="264" t="s">
        <v>43</v>
      </c>
      <c r="I6" s="264" t="s">
        <v>44</v>
      </c>
      <c r="J6" s="264" t="s">
        <v>45</v>
      </c>
      <c r="K6" s="264" t="s">
        <v>46</v>
      </c>
      <c r="L6" s="298" t="s">
        <v>47</v>
      </c>
      <c r="M6" s="9"/>
    </row>
    <row r="7" spans="1:13" x14ac:dyDescent="0.35">
      <c r="A7" s="362"/>
      <c r="B7" s="266" t="s">
        <v>91</v>
      </c>
      <c r="C7" s="267">
        <f>100*A2/13.5*0.9</f>
        <v>0</v>
      </c>
      <c r="D7" s="267">
        <f>100*A2/13.5*0.8</f>
        <v>0</v>
      </c>
      <c r="E7" s="267">
        <f>100*A2/13.5*0.7</f>
        <v>0</v>
      </c>
      <c r="F7" s="267">
        <f>100*A2/13.5*0.6</f>
        <v>0</v>
      </c>
      <c r="G7" s="267">
        <f>100*A2/13.5*0.5</f>
        <v>0</v>
      </c>
      <c r="H7" s="267">
        <f>100*A2/13.5*0.4</f>
        <v>0</v>
      </c>
      <c r="I7" s="267">
        <f>100*A2/13.5*0.3</f>
        <v>0</v>
      </c>
      <c r="J7" s="267">
        <f>100*A2/13.5*0.2</f>
        <v>0</v>
      </c>
      <c r="K7" s="267">
        <f>100*A2/13.5*0.1</f>
        <v>0</v>
      </c>
      <c r="L7" s="267">
        <f>100*A2/13.5*0</f>
        <v>0</v>
      </c>
      <c r="M7" s="9"/>
    </row>
    <row r="8" spans="1:13" x14ac:dyDescent="0.35">
      <c r="A8" s="362"/>
      <c r="B8" s="294" t="s">
        <v>96</v>
      </c>
      <c r="C8" s="269">
        <f>100*A2/25*0.1</f>
        <v>0</v>
      </c>
      <c r="D8" s="269">
        <f>100*A2/25*0.2</f>
        <v>0</v>
      </c>
      <c r="E8" s="269">
        <f>100*A2/25*0.3</f>
        <v>0</v>
      </c>
      <c r="F8" s="269">
        <f>100*A2/25*0.4</f>
        <v>0</v>
      </c>
      <c r="G8" s="269">
        <f>100*A2/25*0.5</f>
        <v>0</v>
      </c>
      <c r="H8" s="269">
        <f>100*A2/25*0.6</f>
        <v>0</v>
      </c>
      <c r="I8" s="269">
        <f>100*A2/25*0.7</f>
        <v>0</v>
      </c>
      <c r="J8" s="269">
        <f>100*A2/25*0.8</f>
        <v>0</v>
      </c>
      <c r="K8" s="269">
        <f>100*A2/25*0.9</f>
        <v>0</v>
      </c>
      <c r="L8" s="269">
        <f>100*A2/25*1</f>
        <v>0</v>
      </c>
      <c r="M8" s="9"/>
    </row>
    <row r="9" spans="1:13" ht="15" thickBot="1" x14ac:dyDescent="0.4">
      <c r="A9" s="363"/>
      <c r="B9" s="271" t="s">
        <v>86</v>
      </c>
      <c r="C9" s="272">
        <f t="shared" ref="C9:J9" si="0">(C7*473/100)+(C8*380/100)</f>
        <v>0</v>
      </c>
      <c r="D9" s="272">
        <f t="shared" si="0"/>
        <v>0</v>
      </c>
      <c r="E9" s="272">
        <f t="shared" si="0"/>
        <v>0</v>
      </c>
      <c r="F9" s="272">
        <f t="shared" si="0"/>
        <v>0</v>
      </c>
      <c r="G9" s="272">
        <f t="shared" si="0"/>
        <v>0</v>
      </c>
      <c r="H9" s="272">
        <f t="shared" si="0"/>
        <v>0</v>
      </c>
      <c r="I9" s="297">
        <f t="shared" si="0"/>
        <v>0</v>
      </c>
      <c r="J9" s="297">
        <f t="shared" si="0"/>
        <v>0</v>
      </c>
      <c r="K9" s="297">
        <f>(K8*473/100)+(K7*380/100)</f>
        <v>0</v>
      </c>
      <c r="L9" s="297">
        <f>(L8*473/100)+(L7*380/100)</f>
        <v>0</v>
      </c>
      <c r="M9" s="9"/>
    </row>
    <row r="10" spans="1:13" x14ac:dyDescent="0.35">
      <c r="A10" s="262"/>
      <c r="B10" s="274"/>
      <c r="C10" s="275"/>
      <c r="D10" s="275"/>
      <c r="E10" s="275"/>
      <c r="F10" s="275"/>
      <c r="M10" s="9"/>
    </row>
    <row r="11" spans="1:13" ht="15" thickBot="1" x14ac:dyDescent="0.4">
      <c r="A11" s="262"/>
      <c r="M11" s="9"/>
    </row>
    <row r="12" spans="1:13" x14ac:dyDescent="0.35">
      <c r="A12" s="365" t="s">
        <v>85</v>
      </c>
      <c r="B12" s="368" t="s">
        <v>87</v>
      </c>
      <c r="C12" s="357"/>
      <c r="D12" s="357"/>
      <c r="E12" s="357"/>
      <c r="F12" s="357"/>
      <c r="G12" s="357"/>
      <c r="H12" s="358"/>
      <c r="M12" s="9"/>
    </row>
    <row r="13" spans="1:13" x14ac:dyDescent="0.35">
      <c r="A13" s="366"/>
      <c r="B13" s="263"/>
      <c r="C13" s="264" t="s">
        <v>38</v>
      </c>
      <c r="D13" s="264" t="s">
        <v>39</v>
      </c>
      <c r="E13" s="264" t="s">
        <v>40</v>
      </c>
      <c r="F13" s="264" t="s">
        <v>41</v>
      </c>
      <c r="G13" s="264" t="s">
        <v>42</v>
      </c>
      <c r="H13" s="265" t="s">
        <v>43</v>
      </c>
      <c r="M13" s="9"/>
    </row>
    <row r="14" spans="1:13" x14ac:dyDescent="0.35">
      <c r="A14" s="366"/>
      <c r="B14" s="266" t="s">
        <v>91</v>
      </c>
      <c r="C14" s="267">
        <f>100*A2/13.5*0.833</f>
        <v>0</v>
      </c>
      <c r="D14" s="267">
        <f>100*A2/13.5*0.667</f>
        <v>0</v>
      </c>
      <c r="E14" s="267">
        <f>100*A2/13.5*0.5</f>
        <v>0</v>
      </c>
      <c r="F14" s="267">
        <f>100*A2/13.5*0.333</f>
        <v>0</v>
      </c>
      <c r="G14" s="267">
        <f>100*A2/13.5*0.167</f>
        <v>0</v>
      </c>
      <c r="H14" s="268">
        <f>100*A2/13.5*0</f>
        <v>0</v>
      </c>
      <c r="M14" s="9"/>
    </row>
    <row r="15" spans="1:13" x14ac:dyDescent="0.35">
      <c r="A15" s="366"/>
      <c r="B15" s="294" t="s">
        <v>96</v>
      </c>
      <c r="C15" s="269">
        <f>100*A2/25*0.167</f>
        <v>0</v>
      </c>
      <c r="D15" s="269">
        <f>100*A2/25*0.333</f>
        <v>0</v>
      </c>
      <c r="E15" s="269">
        <f>100*A2/25*0.5</f>
        <v>0</v>
      </c>
      <c r="F15" s="269">
        <f>100*A2/25*0.667</f>
        <v>0</v>
      </c>
      <c r="G15" s="269">
        <f>100*A2/25*0.833</f>
        <v>0</v>
      </c>
      <c r="H15" s="270">
        <f>100*A2/25*1</f>
        <v>0</v>
      </c>
      <c r="M15" s="9"/>
    </row>
    <row r="16" spans="1:13" ht="15" thickBot="1" x14ac:dyDescent="0.4">
      <c r="A16" s="367"/>
      <c r="B16" s="276" t="s">
        <v>86</v>
      </c>
      <c r="C16" s="272">
        <f t="shared" ref="C16:H16" si="1">(C14*473/100)+(C15*380/100)</f>
        <v>0</v>
      </c>
      <c r="D16" s="272">
        <f t="shared" si="1"/>
        <v>0</v>
      </c>
      <c r="E16" s="272">
        <f t="shared" si="1"/>
        <v>0</v>
      </c>
      <c r="F16" s="272">
        <f t="shared" si="1"/>
        <v>0</v>
      </c>
      <c r="G16" s="272">
        <f t="shared" si="1"/>
        <v>0</v>
      </c>
      <c r="H16" s="273">
        <f t="shared" si="1"/>
        <v>0</v>
      </c>
      <c r="M16" s="9"/>
    </row>
    <row r="17" spans="1:13" x14ac:dyDescent="0.35">
      <c r="A17" s="262"/>
      <c r="B17" s="274"/>
      <c r="C17" s="277"/>
      <c r="D17" s="277"/>
      <c r="E17" s="277"/>
      <c r="F17" s="277"/>
      <c r="G17" s="277"/>
      <c r="H17" s="277"/>
      <c r="M17" s="9"/>
    </row>
    <row r="18" spans="1:13" ht="15" thickBot="1" x14ac:dyDescent="0.4">
      <c r="A18" s="262"/>
      <c r="M18" s="9"/>
    </row>
    <row r="19" spans="1:13" x14ac:dyDescent="0.35">
      <c r="A19" s="354" t="s">
        <v>84</v>
      </c>
      <c r="B19" s="357" t="s">
        <v>50</v>
      </c>
      <c r="C19" s="357"/>
      <c r="D19" s="357"/>
      <c r="E19" s="357"/>
      <c r="F19" s="358"/>
      <c r="M19" s="9"/>
    </row>
    <row r="20" spans="1:13" x14ac:dyDescent="0.35">
      <c r="A20" s="355"/>
      <c r="B20" s="278"/>
      <c r="C20" s="264" t="s">
        <v>38</v>
      </c>
      <c r="D20" s="264" t="s">
        <v>39</v>
      </c>
      <c r="E20" s="264" t="s">
        <v>40</v>
      </c>
      <c r="F20" s="265" t="s">
        <v>41</v>
      </c>
      <c r="M20" s="9"/>
    </row>
    <row r="21" spans="1:13" x14ac:dyDescent="0.35">
      <c r="A21" s="355"/>
      <c r="B21" s="266" t="s">
        <v>91</v>
      </c>
      <c r="C21" s="267">
        <f>100*A2/13.5*0.75</f>
        <v>0</v>
      </c>
      <c r="D21" s="267">
        <f>100*A2/13.5*0.5</f>
        <v>0</v>
      </c>
      <c r="E21" s="267">
        <f>100*A2/13.5*0.25</f>
        <v>0</v>
      </c>
      <c r="F21" s="268">
        <f>100/13.5*A2*0</f>
        <v>0</v>
      </c>
      <c r="M21" s="9"/>
    </row>
    <row r="22" spans="1:13" x14ac:dyDescent="0.35">
      <c r="A22" s="355"/>
      <c r="B22" s="294" t="s">
        <v>96</v>
      </c>
      <c r="C22" s="269">
        <f>100*A2/25*0.25</f>
        <v>0</v>
      </c>
      <c r="D22" s="269">
        <f>100*A2/25*0.5</f>
        <v>0</v>
      </c>
      <c r="E22" s="269">
        <f>100*A2/25*0.75</f>
        <v>0</v>
      </c>
      <c r="F22" s="270">
        <f>100*A2/25*1</f>
        <v>0</v>
      </c>
      <c r="M22" s="9"/>
    </row>
    <row r="23" spans="1:13" ht="15" thickBot="1" x14ac:dyDescent="0.4">
      <c r="A23" s="356"/>
      <c r="B23" s="276" t="s">
        <v>86</v>
      </c>
      <c r="C23" s="272">
        <f>(C21*473/100)+(C22*38/100)</f>
        <v>0</v>
      </c>
      <c r="D23" s="272">
        <f>(D21*473/100)+(D22*380/100)</f>
        <v>0</v>
      </c>
      <c r="E23" s="272">
        <f>(E21*473/100)+(E22*380/100)</f>
        <v>0</v>
      </c>
      <c r="F23" s="273">
        <f>(F21*473/100)+(F22*380/100)</f>
        <v>0</v>
      </c>
      <c r="M23" s="9"/>
    </row>
    <row r="24" spans="1:13" x14ac:dyDescent="0.35">
      <c r="A24" s="262"/>
      <c r="M24" s="9"/>
    </row>
    <row r="25" spans="1:13" ht="15" thickBot="1" x14ac:dyDescent="0.4">
      <c r="A25" s="249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303"/>
    </row>
    <row r="26" spans="1:13" s="246" customFormat="1" x14ac:dyDescent="0.35">
      <c r="A26" s="322" t="s">
        <v>108</v>
      </c>
    </row>
    <row r="27" spans="1:13" x14ac:dyDescent="0.35">
      <c r="A27" s="280" t="s">
        <v>102</v>
      </c>
    </row>
  </sheetData>
  <sheetProtection algorithmName="SHA-512" hashValue="fpfqsQZcfk09v1JGSSfzHWycTLq3Kh9kz0WsM2e7+03YNXF3MOFxjFs5N9yAaJD9qsdI7RhzFGQcqugwoptsrw==" saltValue="7SD7vax7k7EsCuLHi8dtxQ==" spinCount="100000" sheet="1" objects="1" scenarios="1"/>
  <mergeCells count="8">
    <mergeCell ref="A19:A23"/>
    <mergeCell ref="B19:F19"/>
    <mergeCell ref="A1:B1"/>
    <mergeCell ref="A5:A9"/>
    <mergeCell ref="B5:K5"/>
    <mergeCell ref="A12:A16"/>
    <mergeCell ref="B12:H12"/>
    <mergeCell ref="D1:H2"/>
  </mergeCells>
  <phoneticPr fontId="52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59" t="s">
        <v>88</v>
      </c>
      <c r="B1" s="360"/>
      <c r="C1" s="259"/>
      <c r="D1" s="369" t="s">
        <v>97</v>
      </c>
      <c r="E1" s="369"/>
      <c r="F1" s="369"/>
      <c r="G1" s="369"/>
      <c r="H1" s="369"/>
      <c r="I1" s="369"/>
      <c r="J1" s="281"/>
      <c r="K1" s="259"/>
      <c r="L1" s="260"/>
    </row>
    <row r="2" spans="1:12" ht="45" customHeight="1" thickBot="1" x14ac:dyDescent="0.4">
      <c r="A2" s="1">
        <v>0</v>
      </c>
      <c r="D2" s="373"/>
      <c r="E2" s="373"/>
      <c r="F2" s="373"/>
      <c r="G2" s="373"/>
      <c r="H2" s="373"/>
      <c r="I2" s="373"/>
      <c r="J2" s="282"/>
      <c r="L2" s="261"/>
    </row>
    <row r="3" spans="1:12" x14ac:dyDescent="0.35">
      <c r="A3" s="262"/>
      <c r="L3" s="261"/>
    </row>
    <row r="4" spans="1:12" ht="15" thickBot="1" x14ac:dyDescent="0.4">
      <c r="A4" s="262"/>
      <c r="L4" s="261"/>
    </row>
    <row r="5" spans="1:12" x14ac:dyDescent="0.35">
      <c r="A5" s="374" t="s">
        <v>89</v>
      </c>
      <c r="B5" s="357" t="s">
        <v>82</v>
      </c>
      <c r="C5" s="357"/>
      <c r="D5" s="357"/>
      <c r="E5" s="357"/>
      <c r="F5" s="357"/>
      <c r="G5" s="357"/>
      <c r="H5" s="357"/>
      <c r="I5" s="357"/>
      <c r="J5" s="357"/>
      <c r="K5" s="357"/>
      <c r="L5" s="358"/>
    </row>
    <row r="6" spans="1:12" x14ac:dyDescent="0.35">
      <c r="A6" s="362"/>
      <c r="B6" s="278"/>
      <c r="C6" s="264" t="s">
        <v>38</v>
      </c>
      <c r="D6" s="264" t="s">
        <v>39</v>
      </c>
      <c r="E6" s="264" t="s">
        <v>40</v>
      </c>
      <c r="F6" s="264" t="s">
        <v>41</v>
      </c>
      <c r="G6" s="264" t="s">
        <v>42</v>
      </c>
      <c r="H6" s="264" t="s">
        <v>43</v>
      </c>
      <c r="I6" s="264" t="s">
        <v>44</v>
      </c>
      <c r="J6" s="264" t="s">
        <v>45</v>
      </c>
      <c r="K6" s="264" t="s">
        <v>46</v>
      </c>
      <c r="L6" s="265" t="s">
        <v>47</v>
      </c>
    </row>
    <row r="7" spans="1:12" x14ac:dyDescent="0.35">
      <c r="A7" s="362"/>
      <c r="B7" s="288" t="s">
        <v>98</v>
      </c>
      <c r="C7" s="289">
        <f>100*A2/15*0.9</f>
        <v>0</v>
      </c>
      <c r="D7" s="289">
        <f>100*A2/15*0.8</f>
        <v>0</v>
      </c>
      <c r="E7" s="289">
        <f>100*A2/15*0.7</f>
        <v>0</v>
      </c>
      <c r="F7" s="289">
        <f>100*A2/15*0.6</f>
        <v>0</v>
      </c>
      <c r="G7" s="289">
        <f>100*A2/15*0.5</f>
        <v>0</v>
      </c>
      <c r="H7" s="289">
        <f>100*A2/15*0.4</f>
        <v>0</v>
      </c>
      <c r="I7" s="289">
        <f>100*A2/15*0.3</f>
        <v>0</v>
      </c>
      <c r="J7" s="289">
        <f>100*A2/15*0.2</f>
        <v>0</v>
      </c>
      <c r="K7" s="289">
        <f>100*A2/15*0.1</f>
        <v>0</v>
      </c>
      <c r="L7" s="290">
        <f>100*A2/15*0</f>
        <v>0</v>
      </c>
    </row>
    <row r="8" spans="1:12" x14ac:dyDescent="0.35">
      <c r="A8" s="362"/>
      <c r="B8" s="291" t="s">
        <v>91</v>
      </c>
      <c r="C8" s="292">
        <f>100*A2/13.5*0.1</f>
        <v>0</v>
      </c>
      <c r="D8" s="292">
        <f>100*A2/13.5*0.2</f>
        <v>0</v>
      </c>
      <c r="E8" s="292">
        <f>100*A2/13.5*0.3</f>
        <v>0</v>
      </c>
      <c r="F8" s="292">
        <f>100*A2/13.5*0.4</f>
        <v>0</v>
      </c>
      <c r="G8" s="292">
        <f>100*A2/13.5*0.5</f>
        <v>0</v>
      </c>
      <c r="H8" s="292">
        <f>100*A2/13.5*0.6</f>
        <v>0</v>
      </c>
      <c r="I8" s="292">
        <f>100*A2/13.5*0.7</f>
        <v>0</v>
      </c>
      <c r="J8" s="292">
        <f>100*A2/13.5*0.8</f>
        <v>0</v>
      </c>
      <c r="K8" s="292">
        <f>100*A2/13.5*0.9</f>
        <v>0</v>
      </c>
      <c r="L8" s="293">
        <f>100*A2/13.5*1</f>
        <v>0</v>
      </c>
    </row>
    <row r="9" spans="1:12" x14ac:dyDescent="0.35">
      <c r="A9" s="362"/>
      <c r="B9" s="286" t="s">
        <v>86</v>
      </c>
      <c r="C9" s="287">
        <f t="shared" ref="C9:L9" si="0">(C7*480/100)+(C8*473/100)</f>
        <v>0</v>
      </c>
      <c r="D9" s="287">
        <f t="shared" si="0"/>
        <v>0</v>
      </c>
      <c r="E9" s="287">
        <f t="shared" si="0"/>
        <v>0</v>
      </c>
      <c r="F9" s="287">
        <f t="shared" si="0"/>
        <v>0</v>
      </c>
      <c r="G9" s="287">
        <f t="shared" si="0"/>
        <v>0</v>
      </c>
      <c r="H9" s="287">
        <f t="shared" si="0"/>
        <v>0</v>
      </c>
      <c r="I9" s="287">
        <f t="shared" si="0"/>
        <v>0</v>
      </c>
      <c r="J9" s="287">
        <f t="shared" si="0"/>
        <v>0</v>
      </c>
      <c r="K9" s="287">
        <f t="shared" si="0"/>
        <v>0</v>
      </c>
      <c r="L9" s="287">
        <f t="shared" si="0"/>
        <v>0</v>
      </c>
    </row>
    <row r="10" spans="1:12" ht="15" thickBot="1" x14ac:dyDescent="0.4">
      <c r="A10" s="363"/>
      <c r="B10" s="276" t="s">
        <v>48</v>
      </c>
      <c r="C10" s="284">
        <f t="shared" ref="C10:L10" si="1">C8*5.3/100</f>
        <v>0</v>
      </c>
      <c r="D10" s="284">
        <f t="shared" si="1"/>
        <v>0</v>
      </c>
      <c r="E10" s="284">
        <f t="shared" si="1"/>
        <v>0</v>
      </c>
      <c r="F10" s="284">
        <f t="shared" si="1"/>
        <v>0</v>
      </c>
      <c r="G10" s="284">
        <f t="shared" si="1"/>
        <v>0</v>
      </c>
      <c r="H10" s="284">
        <f t="shared" si="1"/>
        <v>0</v>
      </c>
      <c r="I10" s="284">
        <f t="shared" si="1"/>
        <v>0</v>
      </c>
      <c r="J10" s="284">
        <f t="shared" si="1"/>
        <v>0</v>
      </c>
      <c r="K10" s="284">
        <f t="shared" si="1"/>
        <v>0</v>
      </c>
      <c r="L10" s="285">
        <f t="shared" si="1"/>
        <v>0</v>
      </c>
    </row>
    <row r="11" spans="1:12" x14ac:dyDescent="0.35">
      <c r="A11" s="262"/>
      <c r="B11" s="274"/>
      <c r="C11" s="275"/>
      <c r="D11" s="275"/>
      <c r="E11" s="275"/>
      <c r="F11" s="275"/>
      <c r="L11" s="261"/>
    </row>
    <row r="12" spans="1:12" ht="15" thickBot="1" x14ac:dyDescent="0.4">
      <c r="A12" s="262"/>
      <c r="L12" s="261"/>
    </row>
    <row r="13" spans="1:12" x14ac:dyDescent="0.35">
      <c r="A13" s="365" t="s">
        <v>90</v>
      </c>
      <c r="B13" s="357" t="s">
        <v>49</v>
      </c>
      <c r="C13" s="357"/>
      <c r="D13" s="357"/>
      <c r="E13" s="357"/>
      <c r="F13" s="357"/>
      <c r="G13" s="357"/>
      <c r="H13" s="357"/>
      <c r="I13" s="358"/>
      <c r="L13" s="261"/>
    </row>
    <row r="14" spans="1:12" x14ac:dyDescent="0.35">
      <c r="A14" s="366"/>
      <c r="B14" s="278"/>
      <c r="C14" s="264" t="s">
        <v>38</v>
      </c>
      <c r="D14" s="264" t="s">
        <v>39</v>
      </c>
      <c r="E14" s="264" t="s">
        <v>40</v>
      </c>
      <c r="F14" s="264" t="s">
        <v>41</v>
      </c>
      <c r="G14" s="264" t="s">
        <v>42</v>
      </c>
      <c r="H14" s="264" t="s">
        <v>43</v>
      </c>
      <c r="I14" s="265" t="s">
        <v>44</v>
      </c>
      <c r="L14" s="261"/>
    </row>
    <row r="15" spans="1:12" x14ac:dyDescent="0.35">
      <c r="A15" s="366"/>
      <c r="B15" s="288" t="s">
        <v>98</v>
      </c>
      <c r="C15" s="289">
        <f>100*A2/15*0.857</f>
        <v>0</v>
      </c>
      <c r="D15" s="289">
        <f>100*A2/15*0.714</f>
        <v>0</v>
      </c>
      <c r="E15" s="289">
        <f>100*A2/15*0.571</f>
        <v>0</v>
      </c>
      <c r="F15" s="289">
        <f>100*A2/15*0.429</f>
        <v>0</v>
      </c>
      <c r="G15" s="289">
        <f>100*A2/15*0.286</f>
        <v>0</v>
      </c>
      <c r="H15" s="289">
        <f>100*A2/15*0.143</f>
        <v>0</v>
      </c>
      <c r="I15" s="290">
        <f>100*A2/15*0</f>
        <v>0</v>
      </c>
      <c r="L15" s="261"/>
    </row>
    <row r="16" spans="1:12" x14ac:dyDescent="0.35">
      <c r="A16" s="366"/>
      <c r="B16" s="291" t="s">
        <v>91</v>
      </c>
      <c r="C16" s="292">
        <f>100*A2/13.5*0.143</f>
        <v>0</v>
      </c>
      <c r="D16" s="292">
        <f>100*A2/13.5*0.286</f>
        <v>0</v>
      </c>
      <c r="E16" s="292">
        <f>100*A2/13.5*0.429</f>
        <v>0</v>
      </c>
      <c r="F16" s="292">
        <f>100*A2/13.5*0.571</f>
        <v>0</v>
      </c>
      <c r="G16" s="292">
        <f>100*A2/13.5*0.714</f>
        <v>0</v>
      </c>
      <c r="H16" s="292">
        <f>100*A2/13.5*0.857</f>
        <v>0</v>
      </c>
      <c r="I16" s="293">
        <f>100*A2/13.5*1</f>
        <v>0</v>
      </c>
      <c r="L16" s="261"/>
    </row>
    <row r="17" spans="1:12" x14ac:dyDescent="0.35">
      <c r="A17" s="366"/>
      <c r="B17" s="286" t="s">
        <v>86</v>
      </c>
      <c r="C17" s="287">
        <f t="shared" ref="C17:I17" si="2">(C15*480/100)+(C16*473/100)</f>
        <v>0</v>
      </c>
      <c r="D17" s="287">
        <f t="shared" si="2"/>
        <v>0</v>
      </c>
      <c r="E17" s="287">
        <f t="shared" si="2"/>
        <v>0</v>
      </c>
      <c r="F17" s="287">
        <f t="shared" si="2"/>
        <v>0</v>
      </c>
      <c r="G17" s="287">
        <f t="shared" si="2"/>
        <v>0</v>
      </c>
      <c r="H17" s="287">
        <f t="shared" si="2"/>
        <v>0</v>
      </c>
      <c r="I17" s="287">
        <f t="shared" si="2"/>
        <v>0</v>
      </c>
      <c r="L17" s="261"/>
    </row>
    <row r="18" spans="1:12" ht="15" thickBot="1" x14ac:dyDescent="0.4">
      <c r="A18" s="367"/>
      <c r="B18" s="276" t="s">
        <v>48</v>
      </c>
      <c r="C18" s="284">
        <f t="shared" ref="C18:I18" si="3">C16*5.3/100</f>
        <v>0</v>
      </c>
      <c r="D18" s="284">
        <f t="shared" si="3"/>
        <v>0</v>
      </c>
      <c r="E18" s="284">
        <f t="shared" si="3"/>
        <v>0</v>
      </c>
      <c r="F18" s="284">
        <f t="shared" si="3"/>
        <v>0</v>
      </c>
      <c r="G18" s="284">
        <f t="shared" si="3"/>
        <v>0</v>
      </c>
      <c r="H18" s="284">
        <f t="shared" si="3"/>
        <v>0</v>
      </c>
      <c r="I18" s="285">
        <f t="shared" si="3"/>
        <v>0</v>
      </c>
      <c r="J18" s="274" t="s">
        <v>1</v>
      </c>
      <c r="L18" s="261"/>
    </row>
    <row r="19" spans="1:12" x14ac:dyDescent="0.35">
      <c r="A19" s="262"/>
      <c r="B19" s="274"/>
      <c r="C19" s="277"/>
      <c r="D19" s="277"/>
      <c r="E19" s="277"/>
      <c r="F19" s="277"/>
      <c r="G19" s="277"/>
      <c r="H19" s="277"/>
      <c r="I19" s="277"/>
      <c r="L19" s="261"/>
    </row>
    <row r="20" spans="1:12" ht="15" thickBot="1" x14ac:dyDescent="0.4">
      <c r="A20" s="262"/>
      <c r="L20" s="261"/>
    </row>
    <row r="21" spans="1:12" x14ac:dyDescent="0.35">
      <c r="A21" s="354" t="s">
        <v>84</v>
      </c>
      <c r="B21" s="357" t="s">
        <v>50</v>
      </c>
      <c r="C21" s="357"/>
      <c r="D21" s="357"/>
      <c r="E21" s="357"/>
      <c r="F21" s="358"/>
      <c r="L21" s="261"/>
    </row>
    <row r="22" spans="1:12" x14ac:dyDescent="0.35">
      <c r="A22" s="355"/>
      <c r="B22" s="278"/>
      <c r="C22" s="264" t="s">
        <v>38</v>
      </c>
      <c r="D22" s="264" t="s">
        <v>39</v>
      </c>
      <c r="E22" s="264" t="s">
        <v>40</v>
      </c>
      <c r="F22" s="265" t="s">
        <v>41</v>
      </c>
      <c r="L22" s="261"/>
    </row>
    <row r="23" spans="1:12" x14ac:dyDescent="0.35">
      <c r="A23" s="355"/>
      <c r="B23" s="288" t="s">
        <v>98</v>
      </c>
      <c r="C23" s="289">
        <f>100*A2/15*0.75</f>
        <v>0</v>
      </c>
      <c r="D23" s="289">
        <f>100*A2/15*0.5</f>
        <v>0</v>
      </c>
      <c r="E23" s="289">
        <f>100*A2/15*0.25</f>
        <v>0</v>
      </c>
      <c r="F23" s="290">
        <f>100/15*A2*0</f>
        <v>0</v>
      </c>
      <c r="L23" s="261"/>
    </row>
    <row r="24" spans="1:12" x14ac:dyDescent="0.35">
      <c r="A24" s="355"/>
      <c r="B24" s="291" t="s">
        <v>91</v>
      </c>
      <c r="C24" s="292">
        <f>100*A2/13.5*0.25</f>
        <v>0</v>
      </c>
      <c r="D24" s="292">
        <f>100*A2/13.5*0.5</f>
        <v>0</v>
      </c>
      <c r="E24" s="292">
        <f>100*A2/13.5*0.75</f>
        <v>0</v>
      </c>
      <c r="F24" s="293">
        <f>100*A2/13.5*1</f>
        <v>0</v>
      </c>
      <c r="L24" s="261"/>
    </row>
    <row r="25" spans="1:12" x14ac:dyDescent="0.35">
      <c r="A25" s="355"/>
      <c r="B25" s="286" t="s">
        <v>86</v>
      </c>
      <c r="C25" s="287">
        <f>(C23*480/100)+(C24*473/100)</f>
        <v>0</v>
      </c>
      <c r="D25" s="287">
        <f>(D23*480/100)+(D24*473/100)</f>
        <v>0</v>
      </c>
      <c r="E25" s="287">
        <f>(E23*480/100)+(E24*473/100)</f>
        <v>0</v>
      </c>
      <c r="F25" s="287">
        <f>(F23*480/100)+(F24*473/100)</f>
        <v>0</v>
      </c>
      <c r="L25" s="261"/>
    </row>
    <row r="26" spans="1:12" ht="15" thickBot="1" x14ac:dyDescent="0.4">
      <c r="A26" s="356"/>
      <c r="B26" s="276" t="s">
        <v>48</v>
      </c>
      <c r="C26" s="284">
        <f>C24*5.3/100</f>
        <v>0</v>
      </c>
      <c r="D26" s="284">
        <f>D24*5.3/100</f>
        <v>0</v>
      </c>
      <c r="E26" s="284">
        <f>E24*5.3/100</f>
        <v>0</v>
      </c>
      <c r="F26" s="285">
        <f>F24*5.3/100</f>
        <v>0</v>
      </c>
      <c r="L26" s="261"/>
    </row>
    <row r="27" spans="1:12" x14ac:dyDescent="0.35">
      <c r="A27" s="262"/>
      <c r="L27" s="261"/>
    </row>
    <row r="28" spans="1:12" ht="15" thickBot="1" x14ac:dyDescent="0.4">
      <c r="A28" s="27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50"/>
    </row>
    <row r="30" spans="1:12" s="304" customFormat="1" x14ac:dyDescent="0.35">
      <c r="A30" t="s">
        <v>109</v>
      </c>
    </row>
    <row r="31" spans="1:12" x14ac:dyDescent="0.35">
      <c r="B31" s="372"/>
      <c r="C31" s="372"/>
      <c r="D31" s="372"/>
      <c r="E31" s="372"/>
      <c r="F31" s="372"/>
      <c r="G31" s="372"/>
      <c r="H31" s="372"/>
    </row>
    <row r="32" spans="1:12" x14ac:dyDescent="0.35">
      <c r="A32" s="246" t="s">
        <v>106</v>
      </c>
    </row>
    <row r="33" spans="1:1" x14ac:dyDescent="0.35">
      <c r="A33" s="280" t="s">
        <v>102</v>
      </c>
    </row>
  </sheetData>
  <sheetProtection algorithmName="SHA-512" hashValue="3SUTeogMOIsCIsgtpvFWouxR1o8FOmBMZ0hEGaB/ekD2Z79K6UkQoWjKFhqx5KKocY2I1fY28B2sG/EVTXIDWA==" saltValue="tCVrDZkQkNmde+/PjoJqBA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C7D7-BDBE-4A33-9F27-61794F611237}">
  <sheetPr>
    <tabColor theme="9" tint="-0.499984740745262"/>
  </sheetPr>
  <dimension ref="A1:L35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59" t="s">
        <v>88</v>
      </c>
      <c r="B1" s="360"/>
      <c r="C1" s="259"/>
      <c r="D1" s="369" t="s">
        <v>114</v>
      </c>
      <c r="E1" s="369"/>
      <c r="F1" s="369"/>
      <c r="G1" s="369"/>
      <c r="H1" s="369"/>
      <c r="I1" s="369"/>
      <c r="J1" s="281"/>
      <c r="K1" s="259"/>
      <c r="L1" s="260"/>
    </row>
    <row r="2" spans="1:12" ht="45" customHeight="1" thickBot="1" x14ac:dyDescent="0.4">
      <c r="A2" s="1">
        <v>0</v>
      </c>
      <c r="D2" s="373"/>
      <c r="E2" s="373"/>
      <c r="F2" s="373"/>
      <c r="G2" s="373"/>
      <c r="H2" s="373"/>
      <c r="I2" s="373"/>
      <c r="J2" s="282"/>
      <c r="L2" s="261"/>
    </row>
    <row r="3" spans="1:12" x14ac:dyDescent="0.35">
      <c r="A3" s="262"/>
      <c r="L3" s="261"/>
    </row>
    <row r="4" spans="1:12" ht="15" thickBot="1" x14ac:dyDescent="0.4">
      <c r="A4" s="262"/>
      <c r="L4" s="261"/>
    </row>
    <row r="5" spans="1:12" x14ac:dyDescent="0.35">
      <c r="A5" s="374" t="s">
        <v>89</v>
      </c>
      <c r="B5" s="357" t="s">
        <v>82</v>
      </c>
      <c r="C5" s="357"/>
      <c r="D5" s="357"/>
      <c r="E5" s="357"/>
      <c r="F5" s="357"/>
      <c r="G5" s="357"/>
      <c r="H5" s="357"/>
      <c r="I5" s="357"/>
      <c r="J5" s="357"/>
      <c r="K5" s="357"/>
      <c r="L5" s="358"/>
    </row>
    <row r="6" spans="1:12" x14ac:dyDescent="0.35">
      <c r="A6" s="362"/>
      <c r="B6" s="278"/>
      <c r="C6" s="264" t="s">
        <v>38</v>
      </c>
      <c r="D6" s="264" t="s">
        <v>39</v>
      </c>
      <c r="E6" s="264" t="s">
        <v>40</v>
      </c>
      <c r="F6" s="264" t="s">
        <v>41</v>
      </c>
      <c r="G6" s="264" t="s">
        <v>42</v>
      </c>
      <c r="H6" s="264" t="s">
        <v>43</v>
      </c>
      <c r="I6" s="264" t="s">
        <v>44</v>
      </c>
      <c r="J6" s="264" t="s">
        <v>45</v>
      </c>
      <c r="K6" s="264" t="s">
        <v>46</v>
      </c>
      <c r="L6" s="265" t="s">
        <v>47</v>
      </c>
    </row>
    <row r="7" spans="1:12" x14ac:dyDescent="0.35">
      <c r="A7" s="362"/>
      <c r="B7" s="288" t="s">
        <v>98</v>
      </c>
      <c r="C7" s="289">
        <f>100*A2/15*0.9</f>
        <v>0</v>
      </c>
      <c r="D7" s="289">
        <f>100*A2/15*0.8</f>
        <v>0</v>
      </c>
      <c r="E7" s="289">
        <f>100*A2/15*0.7</f>
        <v>0</v>
      </c>
      <c r="F7" s="289">
        <f>100*A2/15*0.6</f>
        <v>0</v>
      </c>
      <c r="G7" s="289">
        <f>100*A2/15*0.5</f>
        <v>0</v>
      </c>
      <c r="H7" s="289">
        <f>100*A2/15*0.4</f>
        <v>0</v>
      </c>
      <c r="I7" s="289">
        <f>100*A2/15*0.3</f>
        <v>0</v>
      </c>
      <c r="J7" s="289">
        <f>100*A2/15*0.2</f>
        <v>0</v>
      </c>
      <c r="K7" s="289">
        <f>100*A2/15*0.1</f>
        <v>0</v>
      </c>
      <c r="L7" s="290">
        <f>100*A2/15*0</f>
        <v>0</v>
      </c>
    </row>
    <row r="8" spans="1:12" x14ac:dyDescent="0.35">
      <c r="A8" s="362"/>
      <c r="B8" s="294" t="s">
        <v>96</v>
      </c>
      <c r="C8" s="269">
        <f>100*A2/25*0.1</f>
        <v>0</v>
      </c>
      <c r="D8" s="269">
        <f>100*A2/25*0.2</f>
        <v>0</v>
      </c>
      <c r="E8" s="269">
        <f>100*A2/25*0.3</f>
        <v>0</v>
      </c>
      <c r="F8" s="269">
        <f>100*A2/25*0.4</f>
        <v>0</v>
      </c>
      <c r="G8" s="269">
        <f>100*A2/25*0.5</f>
        <v>0</v>
      </c>
      <c r="H8" s="269">
        <f>100*A2/25*0.6</f>
        <v>0</v>
      </c>
      <c r="I8" s="269">
        <f>100*A2/25*0.7</f>
        <v>0</v>
      </c>
      <c r="J8" s="269">
        <f>100*A2/25*0.8</f>
        <v>0</v>
      </c>
      <c r="K8" s="269">
        <f>100*A2/25*0.9</f>
        <v>0</v>
      </c>
      <c r="L8" s="270">
        <f>100*A2/25*1</f>
        <v>0</v>
      </c>
    </row>
    <row r="9" spans="1:12" x14ac:dyDescent="0.35">
      <c r="A9" s="362"/>
      <c r="B9" s="286" t="s">
        <v>86</v>
      </c>
      <c r="C9" s="287">
        <f t="shared" ref="C9:L9" si="0">(C7*480/100)+(C8*380/100)</f>
        <v>0</v>
      </c>
      <c r="D9" s="287">
        <f t="shared" si="0"/>
        <v>0</v>
      </c>
      <c r="E9" s="287">
        <f t="shared" si="0"/>
        <v>0</v>
      </c>
      <c r="F9" s="287">
        <f t="shared" si="0"/>
        <v>0</v>
      </c>
      <c r="G9" s="287">
        <f t="shared" si="0"/>
        <v>0</v>
      </c>
      <c r="H9" s="287">
        <f t="shared" si="0"/>
        <v>0</v>
      </c>
      <c r="I9" s="287">
        <f t="shared" si="0"/>
        <v>0</v>
      </c>
      <c r="J9" s="287">
        <f t="shared" si="0"/>
        <v>0</v>
      </c>
      <c r="K9" s="287">
        <f t="shared" si="0"/>
        <v>0</v>
      </c>
      <c r="L9" s="283">
        <f t="shared" si="0"/>
        <v>0</v>
      </c>
    </row>
    <row r="10" spans="1:12" ht="15" thickBot="1" x14ac:dyDescent="0.4">
      <c r="A10" s="363"/>
      <c r="B10" s="276" t="s">
        <v>48</v>
      </c>
      <c r="C10" s="284">
        <f t="shared" ref="C10:L10" si="1">C8*3.9/100</f>
        <v>0</v>
      </c>
      <c r="D10" s="284">
        <f t="shared" si="1"/>
        <v>0</v>
      </c>
      <c r="E10" s="284">
        <f t="shared" si="1"/>
        <v>0</v>
      </c>
      <c r="F10" s="284">
        <f t="shared" si="1"/>
        <v>0</v>
      </c>
      <c r="G10" s="284">
        <f t="shared" si="1"/>
        <v>0</v>
      </c>
      <c r="H10" s="284">
        <f t="shared" si="1"/>
        <v>0</v>
      </c>
      <c r="I10" s="284">
        <f t="shared" si="1"/>
        <v>0</v>
      </c>
      <c r="J10" s="284">
        <f t="shared" si="1"/>
        <v>0</v>
      </c>
      <c r="K10" s="284">
        <f t="shared" si="1"/>
        <v>0</v>
      </c>
      <c r="L10" s="284">
        <f t="shared" si="1"/>
        <v>0</v>
      </c>
    </row>
    <row r="11" spans="1:12" x14ac:dyDescent="0.35">
      <c r="A11" s="262"/>
      <c r="B11" s="274"/>
      <c r="C11" s="275"/>
      <c r="D11" s="275"/>
      <c r="E11" s="275"/>
      <c r="F11" s="275"/>
      <c r="L11" s="261"/>
    </row>
    <row r="12" spans="1:12" ht="15" thickBot="1" x14ac:dyDescent="0.4">
      <c r="A12" s="262"/>
      <c r="L12" s="261"/>
    </row>
    <row r="13" spans="1:12" x14ac:dyDescent="0.35">
      <c r="A13" s="365" t="s">
        <v>90</v>
      </c>
      <c r="B13" s="357" t="s">
        <v>49</v>
      </c>
      <c r="C13" s="357"/>
      <c r="D13" s="357"/>
      <c r="E13" s="357"/>
      <c r="F13" s="357"/>
      <c r="G13" s="357"/>
      <c r="H13" s="357"/>
      <c r="I13" s="358"/>
      <c r="L13" s="261"/>
    </row>
    <row r="14" spans="1:12" x14ac:dyDescent="0.35">
      <c r="A14" s="366"/>
      <c r="B14" s="278"/>
      <c r="C14" s="264" t="s">
        <v>38</v>
      </c>
      <c r="D14" s="264" t="s">
        <v>39</v>
      </c>
      <c r="E14" s="264" t="s">
        <v>40</v>
      </c>
      <c r="F14" s="264" t="s">
        <v>41</v>
      </c>
      <c r="G14" s="264" t="s">
        <v>42</v>
      </c>
      <c r="H14" s="264" t="s">
        <v>43</v>
      </c>
      <c r="I14" s="265" t="s">
        <v>44</v>
      </c>
      <c r="L14" s="261"/>
    </row>
    <row r="15" spans="1:12" x14ac:dyDescent="0.35">
      <c r="A15" s="366"/>
      <c r="B15" s="288" t="s">
        <v>98</v>
      </c>
      <c r="C15" s="289">
        <f>100*A2/15*0.857</f>
        <v>0</v>
      </c>
      <c r="D15" s="289">
        <f>100*A2/15*0.714</f>
        <v>0</v>
      </c>
      <c r="E15" s="289">
        <f>100*A2/15*0.571</f>
        <v>0</v>
      </c>
      <c r="F15" s="289">
        <f>100*A2/15*0.429</f>
        <v>0</v>
      </c>
      <c r="G15" s="289">
        <f>100*A2/15*0.286</f>
        <v>0</v>
      </c>
      <c r="H15" s="289">
        <f>100*A2/15*0.143</f>
        <v>0</v>
      </c>
      <c r="I15" s="290">
        <f>100*A2/15*0</f>
        <v>0</v>
      </c>
      <c r="L15" s="261"/>
    </row>
    <row r="16" spans="1:12" x14ac:dyDescent="0.35">
      <c r="A16" s="366"/>
      <c r="B16" s="294" t="s">
        <v>96</v>
      </c>
      <c r="C16" s="269">
        <f>100*A2/25*0.143</f>
        <v>0</v>
      </c>
      <c r="D16" s="269">
        <f>100*A2/25*0.286</f>
        <v>0</v>
      </c>
      <c r="E16" s="269">
        <f>100*A2/25*0.429</f>
        <v>0</v>
      </c>
      <c r="F16" s="269">
        <f>100*A2/25*0.571</f>
        <v>0</v>
      </c>
      <c r="G16" s="269">
        <f>100*A2/25*0.714</f>
        <v>0</v>
      </c>
      <c r="H16" s="269">
        <f>100*A2/25*0.857</f>
        <v>0</v>
      </c>
      <c r="I16" s="270">
        <f>100*A2/25*1</f>
        <v>0</v>
      </c>
      <c r="L16" s="261"/>
    </row>
    <row r="17" spans="1:12" x14ac:dyDescent="0.35">
      <c r="A17" s="366"/>
      <c r="B17" s="286" t="s">
        <v>86</v>
      </c>
      <c r="C17" s="287">
        <f t="shared" ref="C17:I17" si="2">(C15*480/100)+(C16*380/100)</f>
        <v>0</v>
      </c>
      <c r="D17" s="287">
        <f t="shared" si="2"/>
        <v>0</v>
      </c>
      <c r="E17" s="287">
        <f t="shared" si="2"/>
        <v>0</v>
      </c>
      <c r="F17" s="287">
        <f t="shared" si="2"/>
        <v>0</v>
      </c>
      <c r="G17" s="287">
        <f t="shared" si="2"/>
        <v>0</v>
      </c>
      <c r="H17" s="287">
        <f t="shared" si="2"/>
        <v>0</v>
      </c>
      <c r="I17" s="287">
        <f t="shared" si="2"/>
        <v>0</v>
      </c>
      <c r="L17" s="261"/>
    </row>
    <row r="18" spans="1:12" ht="15" thickBot="1" x14ac:dyDescent="0.4">
      <c r="A18" s="367"/>
      <c r="B18" s="276" t="s">
        <v>48</v>
      </c>
      <c r="C18" s="284">
        <f t="shared" ref="C18:I18" si="3">C16*3.9/100</f>
        <v>0</v>
      </c>
      <c r="D18" s="284">
        <f t="shared" si="3"/>
        <v>0</v>
      </c>
      <c r="E18" s="284">
        <f t="shared" si="3"/>
        <v>0</v>
      </c>
      <c r="F18" s="284">
        <f t="shared" si="3"/>
        <v>0</v>
      </c>
      <c r="G18" s="284">
        <f t="shared" si="3"/>
        <v>0</v>
      </c>
      <c r="H18" s="284">
        <f t="shared" si="3"/>
        <v>0</v>
      </c>
      <c r="I18" s="284">
        <f t="shared" si="3"/>
        <v>0</v>
      </c>
      <c r="J18" s="274" t="s">
        <v>1</v>
      </c>
      <c r="L18" s="261"/>
    </row>
    <row r="19" spans="1:12" x14ac:dyDescent="0.35">
      <c r="A19" s="262"/>
      <c r="B19" s="274"/>
      <c r="C19" s="277"/>
      <c r="D19" s="277"/>
      <c r="E19" s="277"/>
      <c r="F19" s="277"/>
      <c r="G19" s="277"/>
      <c r="H19" s="277"/>
      <c r="I19" s="277"/>
      <c r="L19" s="261"/>
    </row>
    <row r="20" spans="1:12" ht="15" thickBot="1" x14ac:dyDescent="0.4">
      <c r="A20" s="262"/>
      <c r="L20" s="261"/>
    </row>
    <row r="21" spans="1:12" x14ac:dyDescent="0.35">
      <c r="A21" s="354" t="s">
        <v>84</v>
      </c>
      <c r="B21" s="357" t="s">
        <v>50</v>
      </c>
      <c r="C21" s="357"/>
      <c r="D21" s="357"/>
      <c r="E21" s="357"/>
      <c r="F21" s="358"/>
      <c r="L21" s="261"/>
    </row>
    <row r="22" spans="1:12" x14ac:dyDescent="0.35">
      <c r="A22" s="355"/>
      <c r="B22" s="278"/>
      <c r="C22" s="264" t="s">
        <v>38</v>
      </c>
      <c r="D22" s="264" t="s">
        <v>39</v>
      </c>
      <c r="E22" s="264" t="s">
        <v>40</v>
      </c>
      <c r="F22" s="265" t="s">
        <v>41</v>
      </c>
      <c r="L22" s="261"/>
    </row>
    <row r="23" spans="1:12" x14ac:dyDescent="0.35">
      <c r="A23" s="355"/>
      <c r="B23" s="288" t="s">
        <v>92</v>
      </c>
      <c r="C23" s="289">
        <f>100*A2/15*0.75</f>
        <v>0</v>
      </c>
      <c r="D23" s="289">
        <f>100*A2/15*0.5</f>
        <v>0</v>
      </c>
      <c r="E23" s="289">
        <f>100*A2/15*0.25</f>
        <v>0</v>
      </c>
      <c r="F23" s="290">
        <f>100/15*A2*0</f>
        <v>0</v>
      </c>
      <c r="L23" s="261"/>
    </row>
    <row r="24" spans="1:12" x14ac:dyDescent="0.35">
      <c r="A24" s="355"/>
      <c r="B24" s="294" t="s">
        <v>96</v>
      </c>
      <c r="C24" s="269">
        <f>100*A2/25*0.25</f>
        <v>0</v>
      </c>
      <c r="D24" s="269">
        <f>100*A2/25*0.5</f>
        <v>0</v>
      </c>
      <c r="E24" s="269">
        <f>100*A2/25*0.75</f>
        <v>0</v>
      </c>
      <c r="F24" s="270">
        <f>100*A2/25*1</f>
        <v>0</v>
      </c>
      <c r="L24" s="261"/>
    </row>
    <row r="25" spans="1:12" x14ac:dyDescent="0.35">
      <c r="A25" s="355"/>
      <c r="B25" s="286" t="s">
        <v>86</v>
      </c>
      <c r="C25" s="287">
        <f>(C23*480/100)+(C24*380/100)</f>
        <v>0</v>
      </c>
      <c r="D25" s="287">
        <f>(D23*480/100)+(D24*380/100)</f>
        <v>0</v>
      </c>
      <c r="E25" s="287">
        <f>(E23*480/100)+(E24*380/100)</f>
        <v>0</v>
      </c>
      <c r="F25" s="287">
        <f>(F23*480/100)+(F24*380/100)</f>
        <v>0</v>
      </c>
      <c r="L25" s="261"/>
    </row>
    <row r="26" spans="1:12" ht="15" thickBot="1" x14ac:dyDescent="0.4">
      <c r="A26" s="356"/>
      <c r="B26" s="276" t="s">
        <v>48</v>
      </c>
      <c r="C26" s="284">
        <f>C24*3.9/100</f>
        <v>0</v>
      </c>
      <c r="D26" s="284">
        <f>D24*3.9/100</f>
        <v>0</v>
      </c>
      <c r="E26" s="284">
        <f>E24*3.9/100</f>
        <v>0</v>
      </c>
      <c r="F26" s="284">
        <f>F24*3.9/100</f>
        <v>0</v>
      </c>
      <c r="L26" s="261"/>
    </row>
    <row r="27" spans="1:12" x14ac:dyDescent="0.35">
      <c r="A27" s="262"/>
      <c r="L27" s="261"/>
    </row>
    <row r="28" spans="1:12" ht="15" thickBot="1" x14ac:dyDescent="0.4">
      <c r="A28" s="27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50"/>
    </row>
    <row r="29" spans="1:12" ht="14" customHeight="1" x14ac:dyDescent="0.35"/>
    <row r="30" spans="1:12" hidden="1" x14ac:dyDescent="0.35"/>
    <row r="31" spans="1:12" ht="7.5" hidden="1" customHeight="1" x14ac:dyDescent="0.35"/>
    <row r="32" spans="1:12" x14ac:dyDescent="0.35">
      <c r="A32" t="s">
        <v>109</v>
      </c>
    </row>
    <row r="33" spans="1:8" ht="8.25" customHeight="1" x14ac:dyDescent="0.35">
      <c r="B33" s="372"/>
      <c r="C33" s="372"/>
      <c r="D33" s="372"/>
      <c r="E33" s="372"/>
      <c r="F33" s="372"/>
      <c r="G33" s="372"/>
      <c r="H33" s="372"/>
    </row>
    <row r="34" spans="1:8" x14ac:dyDescent="0.35">
      <c r="A34" s="246" t="s">
        <v>110</v>
      </c>
    </row>
    <row r="35" spans="1:8" x14ac:dyDescent="0.35">
      <c r="A35" s="280" t="s">
        <v>102</v>
      </c>
    </row>
  </sheetData>
  <sheetProtection algorithmName="SHA-512" hashValue="CmU1WQ0EESA5VHTfx3JDL9kezo3HtPbsZfnmOEnyZ0YhvsN8ZhCgTv26StypNqqru/RoNsOabfXbVmyiypRoWg==" saltValue="1h7fb3YnBh0LCRZAqalvlA==" spinCount="100000" sheet="1" objects="1" scenarios="1"/>
  <mergeCells count="9">
    <mergeCell ref="A21:A26"/>
    <mergeCell ref="B21:F21"/>
    <mergeCell ref="B33:H33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E8CA-F4D4-489D-88FB-99C87B7F55C9}">
  <sheetPr>
    <tabColor theme="8" tint="-0.499984740745262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59" t="s">
        <v>88</v>
      </c>
      <c r="B1" s="360"/>
      <c r="C1" s="259"/>
      <c r="D1" s="369" t="s">
        <v>113</v>
      </c>
      <c r="E1" s="369"/>
      <c r="F1" s="369"/>
      <c r="G1" s="369"/>
      <c r="H1" s="369"/>
      <c r="I1" s="369"/>
      <c r="J1" s="369"/>
      <c r="K1" s="259"/>
      <c r="L1" s="260"/>
    </row>
    <row r="2" spans="1:12" ht="45" customHeight="1" thickBot="1" x14ac:dyDescent="0.4">
      <c r="A2" s="1">
        <v>0</v>
      </c>
      <c r="D2" s="373"/>
      <c r="E2" s="373"/>
      <c r="F2" s="373"/>
      <c r="G2" s="373"/>
      <c r="H2" s="373"/>
      <c r="I2" s="373"/>
      <c r="J2" s="373"/>
      <c r="L2" s="261"/>
    </row>
    <row r="3" spans="1:12" x14ac:dyDescent="0.35">
      <c r="A3" s="262"/>
      <c r="L3" s="261"/>
    </row>
    <row r="4" spans="1:12" ht="15" thickBot="1" x14ac:dyDescent="0.4">
      <c r="A4" s="262"/>
      <c r="L4" s="261"/>
    </row>
    <row r="5" spans="1:12" x14ac:dyDescent="0.35">
      <c r="A5" s="374" t="s">
        <v>89</v>
      </c>
      <c r="B5" s="357" t="s">
        <v>82</v>
      </c>
      <c r="C5" s="357"/>
      <c r="D5" s="357"/>
      <c r="E5" s="357"/>
      <c r="F5" s="357"/>
      <c r="G5" s="357"/>
      <c r="H5" s="357"/>
      <c r="I5" s="357"/>
      <c r="J5" s="357"/>
      <c r="K5" s="357"/>
      <c r="L5" s="358"/>
    </row>
    <row r="6" spans="1:12" x14ac:dyDescent="0.35">
      <c r="A6" s="362"/>
      <c r="B6" s="278"/>
      <c r="C6" s="264" t="s">
        <v>38</v>
      </c>
      <c r="D6" s="264" t="s">
        <v>39</v>
      </c>
      <c r="E6" s="264" t="s">
        <v>40</v>
      </c>
      <c r="F6" s="264" t="s">
        <v>41</v>
      </c>
      <c r="G6" s="264" t="s">
        <v>42</v>
      </c>
      <c r="H6" s="264" t="s">
        <v>43</v>
      </c>
      <c r="I6" s="264" t="s">
        <v>44</v>
      </c>
      <c r="J6" s="264" t="s">
        <v>45</v>
      </c>
      <c r="K6" s="264" t="s">
        <v>46</v>
      </c>
      <c r="L6" s="265" t="s">
        <v>47</v>
      </c>
    </row>
    <row r="7" spans="1:12" x14ac:dyDescent="0.35">
      <c r="A7" s="362"/>
      <c r="B7" s="288" t="s">
        <v>95</v>
      </c>
      <c r="C7" s="289">
        <f>100*A2/16.2*0.9</f>
        <v>0</v>
      </c>
      <c r="D7" s="289">
        <f>100*A2/16.2*0.8</f>
        <v>0</v>
      </c>
      <c r="E7" s="289">
        <f>100*A2/16.2*0.7</f>
        <v>0</v>
      </c>
      <c r="F7" s="289">
        <f>100*A2/16.2*0.6</f>
        <v>0</v>
      </c>
      <c r="G7" s="289">
        <f>100*A2/16.2*0.5</f>
        <v>0</v>
      </c>
      <c r="H7" s="289">
        <f>100*A2/16.2*0.4</f>
        <v>0</v>
      </c>
      <c r="I7" s="289">
        <f>100*A2/16.2*0.3</f>
        <v>0</v>
      </c>
      <c r="J7" s="289">
        <f>100*A2/16.2*0.2</f>
        <v>0</v>
      </c>
      <c r="K7" s="289">
        <f>100*A2/16.2*0.1</f>
        <v>0</v>
      </c>
      <c r="L7" s="290">
        <f>100*A2/16.2*0</f>
        <v>0</v>
      </c>
    </row>
    <row r="8" spans="1:12" x14ac:dyDescent="0.35">
      <c r="A8" s="362"/>
      <c r="B8" s="291" t="s">
        <v>91</v>
      </c>
      <c r="C8" s="292">
        <f>100*A2/13.5*0.1</f>
        <v>0</v>
      </c>
      <c r="D8" s="292">
        <f>100*A2/13.5*0.2</f>
        <v>0</v>
      </c>
      <c r="E8" s="292">
        <f>100*A2/13.5*0.3</f>
        <v>0</v>
      </c>
      <c r="F8" s="292">
        <f>100*A2/13.5*0.4</f>
        <v>0</v>
      </c>
      <c r="G8" s="292">
        <f>100*A2/13.5*0.5</f>
        <v>0</v>
      </c>
      <c r="H8" s="292">
        <f>100*A2/13.5*0.6</f>
        <v>0</v>
      </c>
      <c r="I8" s="292">
        <f>100*A2/13.5*0.7</f>
        <v>0</v>
      </c>
      <c r="J8" s="292">
        <f>100*A2/13.5*0.8</f>
        <v>0</v>
      </c>
      <c r="K8" s="292">
        <f>100*A2/13.5*0.9</f>
        <v>0</v>
      </c>
      <c r="L8" s="293">
        <f>100*A2/13.5*1</f>
        <v>0</v>
      </c>
    </row>
    <row r="9" spans="1:12" x14ac:dyDescent="0.35">
      <c r="A9" s="362"/>
      <c r="B9" s="286" t="s">
        <v>86</v>
      </c>
      <c r="C9" s="287">
        <f t="shared" ref="C9:L9" si="0">(C7*500/100)+(C8*473/100)</f>
        <v>0</v>
      </c>
      <c r="D9" s="287">
        <f t="shared" si="0"/>
        <v>0</v>
      </c>
      <c r="E9" s="287">
        <f t="shared" si="0"/>
        <v>0</v>
      </c>
      <c r="F9" s="287">
        <f t="shared" si="0"/>
        <v>0</v>
      </c>
      <c r="G9" s="287">
        <f t="shared" si="0"/>
        <v>0</v>
      </c>
      <c r="H9" s="287">
        <f t="shared" si="0"/>
        <v>0</v>
      </c>
      <c r="I9" s="287">
        <f t="shared" si="0"/>
        <v>0</v>
      </c>
      <c r="J9" s="287">
        <f t="shared" si="0"/>
        <v>0</v>
      </c>
      <c r="K9" s="287">
        <f t="shared" si="0"/>
        <v>0</v>
      </c>
      <c r="L9" s="287">
        <f t="shared" si="0"/>
        <v>0</v>
      </c>
    </row>
    <row r="10" spans="1:12" ht="15" thickBot="1" x14ac:dyDescent="0.4">
      <c r="A10" s="363"/>
      <c r="B10" s="276" t="s">
        <v>48</v>
      </c>
      <c r="C10" s="284">
        <f t="shared" ref="C10:L10" si="1">C8*5.3/100</f>
        <v>0</v>
      </c>
      <c r="D10" s="284">
        <f t="shared" si="1"/>
        <v>0</v>
      </c>
      <c r="E10" s="284">
        <f t="shared" si="1"/>
        <v>0</v>
      </c>
      <c r="F10" s="284">
        <f t="shared" si="1"/>
        <v>0</v>
      </c>
      <c r="G10" s="284">
        <f t="shared" si="1"/>
        <v>0</v>
      </c>
      <c r="H10" s="284">
        <f t="shared" si="1"/>
        <v>0</v>
      </c>
      <c r="I10" s="284">
        <f t="shared" si="1"/>
        <v>0</v>
      </c>
      <c r="J10" s="284">
        <f t="shared" si="1"/>
        <v>0</v>
      </c>
      <c r="K10" s="284">
        <f t="shared" si="1"/>
        <v>0</v>
      </c>
      <c r="L10" s="285">
        <f t="shared" si="1"/>
        <v>0</v>
      </c>
    </row>
    <row r="11" spans="1:12" x14ac:dyDescent="0.35">
      <c r="A11" s="262"/>
      <c r="B11" s="274"/>
      <c r="C11" s="275"/>
      <c r="D11" s="275"/>
      <c r="E11" s="275"/>
      <c r="F11" s="275"/>
      <c r="L11" s="261"/>
    </row>
    <row r="12" spans="1:12" ht="15" thickBot="1" x14ac:dyDescent="0.4">
      <c r="A12" s="262"/>
      <c r="L12" s="261"/>
    </row>
    <row r="13" spans="1:12" x14ac:dyDescent="0.35">
      <c r="A13" s="365" t="s">
        <v>90</v>
      </c>
      <c r="B13" s="357" t="s">
        <v>49</v>
      </c>
      <c r="C13" s="357"/>
      <c r="D13" s="357"/>
      <c r="E13" s="357"/>
      <c r="F13" s="357"/>
      <c r="G13" s="357"/>
      <c r="H13" s="357"/>
      <c r="I13" s="358"/>
      <c r="L13" s="261"/>
    </row>
    <row r="14" spans="1:12" x14ac:dyDescent="0.35">
      <c r="A14" s="366"/>
      <c r="B14" s="278"/>
      <c r="C14" s="264" t="s">
        <v>38</v>
      </c>
      <c r="D14" s="264" t="s">
        <v>39</v>
      </c>
      <c r="E14" s="264" t="s">
        <v>40</v>
      </c>
      <c r="F14" s="264" t="s">
        <v>41</v>
      </c>
      <c r="G14" s="264" t="s">
        <v>42</v>
      </c>
      <c r="H14" s="264" t="s">
        <v>43</v>
      </c>
      <c r="I14" s="265" t="s">
        <v>44</v>
      </c>
      <c r="L14" s="261"/>
    </row>
    <row r="15" spans="1:12" x14ac:dyDescent="0.35">
      <c r="A15" s="366"/>
      <c r="B15" s="288" t="s">
        <v>95</v>
      </c>
      <c r="C15" s="289">
        <f>100*A2/16.2*0.857</f>
        <v>0</v>
      </c>
      <c r="D15" s="289">
        <f>100*A2/16.2*0.714</f>
        <v>0</v>
      </c>
      <c r="E15" s="289">
        <f>100*A2/16.2*0.571</f>
        <v>0</v>
      </c>
      <c r="F15" s="289">
        <f>100*A2/16.2*0.429</f>
        <v>0</v>
      </c>
      <c r="G15" s="289">
        <f>100*A2/16.2*0.286</f>
        <v>0</v>
      </c>
      <c r="H15" s="289">
        <f>100*A2/16.2*0.143</f>
        <v>0</v>
      </c>
      <c r="I15" s="290">
        <f>100*A2/16.2*0</f>
        <v>0</v>
      </c>
      <c r="L15" s="261"/>
    </row>
    <row r="16" spans="1:12" x14ac:dyDescent="0.35">
      <c r="A16" s="366"/>
      <c r="B16" s="291" t="s">
        <v>91</v>
      </c>
      <c r="C16" s="292">
        <f>100*A2/13.5*0.143</f>
        <v>0</v>
      </c>
      <c r="D16" s="292">
        <f>100*A2/13.5*0.286</f>
        <v>0</v>
      </c>
      <c r="E16" s="292">
        <f>100*A2/13.5*0.429</f>
        <v>0</v>
      </c>
      <c r="F16" s="292">
        <f>100*A2/13.5*0.571</f>
        <v>0</v>
      </c>
      <c r="G16" s="292">
        <f>100*A2/13.5*0.714</f>
        <v>0</v>
      </c>
      <c r="H16" s="292">
        <f>100*A2/13.5*0.857</f>
        <v>0</v>
      </c>
      <c r="I16" s="293">
        <f>100*A2/13.5*1</f>
        <v>0</v>
      </c>
      <c r="L16" s="261"/>
    </row>
    <row r="17" spans="1:12" x14ac:dyDescent="0.35">
      <c r="A17" s="366"/>
      <c r="B17" s="286" t="s">
        <v>86</v>
      </c>
      <c r="C17" s="287">
        <f t="shared" ref="C17:I17" si="2">(C15*500/100)+(C16*473/100)</f>
        <v>0</v>
      </c>
      <c r="D17" s="287">
        <f t="shared" si="2"/>
        <v>0</v>
      </c>
      <c r="E17" s="287">
        <f t="shared" si="2"/>
        <v>0</v>
      </c>
      <c r="F17" s="287">
        <f t="shared" si="2"/>
        <v>0</v>
      </c>
      <c r="G17" s="287">
        <f t="shared" si="2"/>
        <v>0</v>
      </c>
      <c r="H17" s="287">
        <f t="shared" si="2"/>
        <v>0</v>
      </c>
      <c r="I17" s="287">
        <f t="shared" si="2"/>
        <v>0</v>
      </c>
      <c r="L17" s="261"/>
    </row>
    <row r="18" spans="1:12" ht="15" thickBot="1" x14ac:dyDescent="0.4">
      <c r="A18" s="367"/>
      <c r="B18" s="276" t="s">
        <v>48</v>
      </c>
      <c r="C18" s="284">
        <f t="shared" ref="C18:I18" si="3">C16*5.3/100</f>
        <v>0</v>
      </c>
      <c r="D18" s="284">
        <f t="shared" si="3"/>
        <v>0</v>
      </c>
      <c r="E18" s="284">
        <f t="shared" si="3"/>
        <v>0</v>
      </c>
      <c r="F18" s="284">
        <f t="shared" si="3"/>
        <v>0</v>
      </c>
      <c r="G18" s="284">
        <f t="shared" si="3"/>
        <v>0</v>
      </c>
      <c r="H18" s="284">
        <f t="shared" si="3"/>
        <v>0</v>
      </c>
      <c r="I18" s="285">
        <f t="shared" si="3"/>
        <v>0</v>
      </c>
      <c r="J18" s="274" t="s">
        <v>1</v>
      </c>
      <c r="L18" s="261"/>
    </row>
    <row r="19" spans="1:12" x14ac:dyDescent="0.35">
      <c r="A19" s="262"/>
      <c r="B19" s="274"/>
      <c r="C19" s="277"/>
      <c r="D19" s="277"/>
      <c r="E19" s="277"/>
      <c r="F19" s="277"/>
      <c r="G19" s="277"/>
      <c r="H19" s="277"/>
      <c r="I19" s="277"/>
      <c r="L19" s="261"/>
    </row>
    <row r="20" spans="1:12" ht="15" thickBot="1" x14ac:dyDescent="0.4">
      <c r="A20" s="262"/>
      <c r="L20" s="261"/>
    </row>
    <row r="21" spans="1:12" x14ac:dyDescent="0.35">
      <c r="A21" s="354" t="s">
        <v>84</v>
      </c>
      <c r="B21" s="357" t="s">
        <v>50</v>
      </c>
      <c r="C21" s="357"/>
      <c r="D21" s="357"/>
      <c r="E21" s="357"/>
      <c r="F21" s="358"/>
      <c r="L21" s="261"/>
    </row>
    <row r="22" spans="1:12" x14ac:dyDescent="0.35">
      <c r="A22" s="355"/>
      <c r="B22" s="278"/>
      <c r="C22" s="264" t="s">
        <v>38</v>
      </c>
      <c r="D22" s="264" t="s">
        <v>39</v>
      </c>
      <c r="E22" s="264" t="s">
        <v>40</v>
      </c>
      <c r="F22" s="265" t="s">
        <v>41</v>
      </c>
      <c r="L22" s="261"/>
    </row>
    <row r="23" spans="1:12" x14ac:dyDescent="0.35">
      <c r="A23" s="355"/>
      <c r="B23" s="288" t="s">
        <v>95</v>
      </c>
      <c r="C23" s="289">
        <f>100*A2/16.2*0.75</f>
        <v>0</v>
      </c>
      <c r="D23" s="289">
        <f>100*A2/16.2*0.5</f>
        <v>0</v>
      </c>
      <c r="E23" s="289">
        <f>100*A2/16.2*0.25</f>
        <v>0</v>
      </c>
      <c r="F23" s="290">
        <f>100/16.2*A2*0</f>
        <v>0</v>
      </c>
      <c r="L23" s="261"/>
    </row>
    <row r="24" spans="1:12" x14ac:dyDescent="0.35">
      <c r="A24" s="355"/>
      <c r="B24" s="291" t="s">
        <v>91</v>
      </c>
      <c r="C24" s="292">
        <f>100*A2/13.5*0.25</f>
        <v>0</v>
      </c>
      <c r="D24" s="292">
        <f>100*A2/13.5*0.5</f>
        <v>0</v>
      </c>
      <c r="E24" s="292">
        <f>100*A2/13.5*0.75</f>
        <v>0</v>
      </c>
      <c r="F24" s="293">
        <f>100*A2/13.5*1</f>
        <v>0</v>
      </c>
      <c r="L24" s="261"/>
    </row>
    <row r="25" spans="1:12" x14ac:dyDescent="0.35">
      <c r="A25" s="355"/>
      <c r="B25" s="286" t="s">
        <v>86</v>
      </c>
      <c r="C25" s="287">
        <f>(C23*500/100)+(C24*473/100)</f>
        <v>0</v>
      </c>
      <c r="D25" s="287">
        <f>(D23*500/100)+(D24*473/100)</f>
        <v>0</v>
      </c>
      <c r="E25" s="287">
        <f>(E23*500/100)+(E24*473/100)</f>
        <v>0</v>
      </c>
      <c r="F25" s="287">
        <f>(F23*500/100)+(F24*473/100)</f>
        <v>0</v>
      </c>
      <c r="L25" s="261"/>
    </row>
    <row r="26" spans="1:12" ht="15" thickBot="1" x14ac:dyDescent="0.4">
      <c r="A26" s="356"/>
      <c r="B26" s="276" t="s">
        <v>48</v>
      </c>
      <c r="C26" s="284">
        <f>C24*5.3/100</f>
        <v>0</v>
      </c>
      <c r="D26" s="284">
        <f>D24*5.3/100</f>
        <v>0</v>
      </c>
      <c r="E26" s="284">
        <f>E24*5.3/100</f>
        <v>0</v>
      </c>
      <c r="F26" s="285">
        <f>F24*5.3/100</f>
        <v>0</v>
      </c>
      <c r="L26" s="261"/>
    </row>
    <row r="27" spans="1:12" x14ac:dyDescent="0.35">
      <c r="A27" s="262"/>
      <c r="L27" s="261"/>
    </row>
    <row r="28" spans="1:12" ht="15" thickBot="1" x14ac:dyDescent="0.4">
      <c r="A28" s="27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50"/>
    </row>
    <row r="29" spans="1:12" x14ac:dyDescent="0.35">
      <c r="A29" s="323"/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</row>
    <row r="30" spans="1:12" x14ac:dyDescent="0.35">
      <c r="A30" t="s">
        <v>111</v>
      </c>
    </row>
    <row r="31" spans="1:12" ht="12" customHeight="1" x14ac:dyDescent="0.35">
      <c r="B31" s="372"/>
      <c r="C31" s="372"/>
      <c r="D31" s="372"/>
      <c r="E31" s="372"/>
      <c r="F31" s="372"/>
      <c r="G31" s="372"/>
      <c r="H31" s="372"/>
    </row>
    <row r="32" spans="1:12" x14ac:dyDescent="0.35">
      <c r="A32" s="246" t="s">
        <v>106</v>
      </c>
    </row>
    <row r="33" spans="1:1" x14ac:dyDescent="0.35">
      <c r="A33" s="280" t="s">
        <v>102</v>
      </c>
    </row>
  </sheetData>
  <sheetProtection algorithmName="SHA-512" hashValue="zjAD5UO/Q4VWTU2JJnnV7KX/MqPFudNDjf4iJ5fdek8a1noRseLAhaRXyerpY642JVXR0dWa6iMlkifTJsuNoA==" saltValue="PG8LIeI+U4B/9k4RJ0sv6Q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3936-7B93-4574-A2E7-7DB575CE7D65}">
  <sheetPr>
    <tabColor theme="8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59" t="s">
        <v>88</v>
      </c>
      <c r="B1" s="360"/>
      <c r="C1" s="259"/>
      <c r="D1" s="369" t="s">
        <v>112</v>
      </c>
      <c r="E1" s="369"/>
      <c r="F1" s="369"/>
      <c r="G1" s="369"/>
      <c r="H1" s="369"/>
      <c r="I1" s="369"/>
      <c r="J1" s="369"/>
      <c r="K1" s="259"/>
      <c r="L1" s="260"/>
    </row>
    <row r="2" spans="1:12" ht="45" customHeight="1" thickBot="1" x14ac:dyDescent="0.4">
      <c r="A2" s="1">
        <v>0</v>
      </c>
      <c r="D2" s="373"/>
      <c r="E2" s="373"/>
      <c r="F2" s="373"/>
      <c r="G2" s="373"/>
      <c r="H2" s="373"/>
      <c r="I2" s="373"/>
      <c r="J2" s="373"/>
      <c r="L2" s="261"/>
    </row>
    <row r="3" spans="1:12" x14ac:dyDescent="0.35">
      <c r="A3" s="262"/>
      <c r="L3" s="261"/>
    </row>
    <row r="4" spans="1:12" ht="15" thickBot="1" x14ac:dyDescent="0.4">
      <c r="A4" s="262"/>
      <c r="L4" s="261"/>
    </row>
    <row r="5" spans="1:12" x14ac:dyDescent="0.35">
      <c r="A5" s="374" t="s">
        <v>89</v>
      </c>
      <c r="B5" s="357" t="s">
        <v>82</v>
      </c>
      <c r="C5" s="357"/>
      <c r="D5" s="357"/>
      <c r="E5" s="357"/>
      <c r="F5" s="357"/>
      <c r="G5" s="357"/>
      <c r="H5" s="357"/>
      <c r="I5" s="357"/>
      <c r="J5" s="357"/>
      <c r="K5" s="357"/>
      <c r="L5" s="358"/>
    </row>
    <row r="6" spans="1:12" x14ac:dyDescent="0.35">
      <c r="A6" s="362"/>
      <c r="B6" s="278"/>
      <c r="C6" s="264" t="s">
        <v>38</v>
      </c>
      <c r="D6" s="264" t="s">
        <v>39</v>
      </c>
      <c r="E6" s="264" t="s">
        <v>40</v>
      </c>
      <c r="F6" s="264" t="s">
        <v>41</v>
      </c>
      <c r="G6" s="264" t="s">
        <v>42</v>
      </c>
      <c r="H6" s="264" t="s">
        <v>43</v>
      </c>
      <c r="I6" s="264" t="s">
        <v>44</v>
      </c>
      <c r="J6" s="264" t="s">
        <v>45</v>
      </c>
      <c r="K6" s="264" t="s">
        <v>46</v>
      </c>
      <c r="L6" s="265" t="s">
        <v>47</v>
      </c>
    </row>
    <row r="7" spans="1:12" x14ac:dyDescent="0.35">
      <c r="A7" s="362"/>
      <c r="B7" s="288" t="s">
        <v>95</v>
      </c>
      <c r="C7" s="289">
        <f>100*A2/16.2*0.9</f>
        <v>0</v>
      </c>
      <c r="D7" s="289">
        <f>100*A2/16.2*0.8</f>
        <v>0</v>
      </c>
      <c r="E7" s="289">
        <f>100*A2/16.2*0.7</f>
        <v>0</v>
      </c>
      <c r="F7" s="289">
        <f>100*A2/16.2*0.6</f>
        <v>0</v>
      </c>
      <c r="G7" s="289">
        <f>100*A2/16.2*0.5</f>
        <v>0</v>
      </c>
      <c r="H7" s="289">
        <f>100*A2/16.2*0.4</f>
        <v>0</v>
      </c>
      <c r="I7" s="289">
        <f>100*A2/16.2*0.3</f>
        <v>0</v>
      </c>
      <c r="J7" s="289">
        <f>100*A2/16.2*0.2</f>
        <v>0</v>
      </c>
      <c r="K7" s="289">
        <f>100*A2/16.2*0.1</f>
        <v>0</v>
      </c>
      <c r="L7" s="290">
        <f>100*A2/16.2*0</f>
        <v>0</v>
      </c>
    </row>
    <row r="8" spans="1:12" x14ac:dyDescent="0.35">
      <c r="A8" s="362"/>
      <c r="B8" s="294" t="s">
        <v>96</v>
      </c>
      <c r="C8" s="269">
        <f>100*A2/25*0.1</f>
        <v>0</v>
      </c>
      <c r="D8" s="269">
        <f>100*A2/25*0.2</f>
        <v>0</v>
      </c>
      <c r="E8" s="269">
        <f>100*A2/25*0.3</f>
        <v>0</v>
      </c>
      <c r="F8" s="269">
        <f>100*A2/25*0.4</f>
        <v>0</v>
      </c>
      <c r="G8" s="269">
        <f>100*A2/25*0.5</f>
        <v>0</v>
      </c>
      <c r="H8" s="269">
        <f>100*A2/25*0.6</f>
        <v>0</v>
      </c>
      <c r="I8" s="269">
        <f>100*A2/25*0.7</f>
        <v>0</v>
      </c>
      <c r="J8" s="269">
        <f>100*A2/25*0.8</f>
        <v>0</v>
      </c>
      <c r="K8" s="269">
        <f>100*A2/25*0.9</f>
        <v>0</v>
      </c>
      <c r="L8" s="270">
        <f>100*A2/25*1</f>
        <v>0</v>
      </c>
    </row>
    <row r="9" spans="1:12" x14ac:dyDescent="0.35">
      <c r="A9" s="362"/>
      <c r="B9" s="286" t="s">
        <v>86</v>
      </c>
      <c r="C9" s="287">
        <f t="shared" ref="C9:L9" si="0">(C7*500/100)+(C8*380/100)</f>
        <v>0</v>
      </c>
      <c r="D9" s="287">
        <f t="shared" si="0"/>
        <v>0</v>
      </c>
      <c r="E9" s="287">
        <f t="shared" si="0"/>
        <v>0</v>
      </c>
      <c r="F9" s="287">
        <f t="shared" si="0"/>
        <v>0</v>
      </c>
      <c r="G9" s="287">
        <f t="shared" si="0"/>
        <v>0</v>
      </c>
      <c r="H9" s="287">
        <f t="shared" si="0"/>
        <v>0</v>
      </c>
      <c r="I9" s="287">
        <f t="shared" si="0"/>
        <v>0</v>
      </c>
      <c r="J9" s="287">
        <f t="shared" si="0"/>
        <v>0</v>
      </c>
      <c r="K9" s="287">
        <f t="shared" si="0"/>
        <v>0</v>
      </c>
      <c r="L9" s="287">
        <f t="shared" si="0"/>
        <v>0</v>
      </c>
    </row>
    <row r="10" spans="1:12" ht="15" thickBot="1" x14ac:dyDescent="0.4">
      <c r="A10" s="363"/>
      <c r="B10" s="276" t="s">
        <v>48</v>
      </c>
      <c r="C10" s="284">
        <f t="shared" ref="C10:L10" si="1">C8*3.9/100</f>
        <v>0</v>
      </c>
      <c r="D10" s="284">
        <f t="shared" si="1"/>
        <v>0</v>
      </c>
      <c r="E10" s="284">
        <f t="shared" si="1"/>
        <v>0</v>
      </c>
      <c r="F10" s="284">
        <f t="shared" si="1"/>
        <v>0</v>
      </c>
      <c r="G10" s="284">
        <f t="shared" si="1"/>
        <v>0</v>
      </c>
      <c r="H10" s="284">
        <f t="shared" si="1"/>
        <v>0</v>
      </c>
      <c r="I10" s="284">
        <f t="shared" si="1"/>
        <v>0</v>
      </c>
      <c r="J10" s="284">
        <f t="shared" si="1"/>
        <v>0</v>
      </c>
      <c r="K10" s="284">
        <f t="shared" si="1"/>
        <v>0</v>
      </c>
      <c r="L10" s="284">
        <f t="shared" si="1"/>
        <v>0</v>
      </c>
    </row>
    <row r="11" spans="1:12" x14ac:dyDescent="0.35">
      <c r="A11" s="262"/>
      <c r="B11" s="274"/>
      <c r="C11" s="275"/>
      <c r="D11" s="275"/>
      <c r="E11" s="275"/>
      <c r="F11" s="275"/>
      <c r="L11" s="261"/>
    </row>
    <row r="12" spans="1:12" ht="15" thickBot="1" x14ac:dyDescent="0.4">
      <c r="A12" s="262"/>
      <c r="L12" s="261"/>
    </row>
    <row r="13" spans="1:12" x14ac:dyDescent="0.35">
      <c r="A13" s="365" t="s">
        <v>90</v>
      </c>
      <c r="B13" s="357" t="s">
        <v>49</v>
      </c>
      <c r="C13" s="357"/>
      <c r="D13" s="357"/>
      <c r="E13" s="357"/>
      <c r="F13" s="357"/>
      <c r="G13" s="357"/>
      <c r="H13" s="357"/>
      <c r="I13" s="358"/>
      <c r="L13" s="261"/>
    </row>
    <row r="14" spans="1:12" x14ac:dyDescent="0.35">
      <c r="A14" s="366"/>
      <c r="B14" s="278"/>
      <c r="C14" s="264" t="s">
        <v>38</v>
      </c>
      <c r="D14" s="264" t="s">
        <v>39</v>
      </c>
      <c r="E14" s="264" t="s">
        <v>40</v>
      </c>
      <c r="F14" s="264" t="s">
        <v>41</v>
      </c>
      <c r="G14" s="264" t="s">
        <v>42</v>
      </c>
      <c r="H14" s="264" t="s">
        <v>43</v>
      </c>
      <c r="I14" s="265" t="s">
        <v>44</v>
      </c>
      <c r="L14" s="261"/>
    </row>
    <row r="15" spans="1:12" x14ac:dyDescent="0.35">
      <c r="A15" s="366"/>
      <c r="B15" s="288" t="s">
        <v>95</v>
      </c>
      <c r="C15" s="289">
        <f>100*A2/16.2*0.857</f>
        <v>0</v>
      </c>
      <c r="D15" s="289">
        <f>100*A2/16.2*0.714</f>
        <v>0</v>
      </c>
      <c r="E15" s="289">
        <f>100*A2/16.2*0.571</f>
        <v>0</v>
      </c>
      <c r="F15" s="289">
        <f>100*A2/16.2*0.429</f>
        <v>0</v>
      </c>
      <c r="G15" s="289">
        <f>100*A2/16.2*0.286</f>
        <v>0</v>
      </c>
      <c r="H15" s="289">
        <f>100*A2/16.2*0.143</f>
        <v>0</v>
      </c>
      <c r="I15" s="290">
        <f>100*A2/16.2*0</f>
        <v>0</v>
      </c>
      <c r="L15" s="261"/>
    </row>
    <row r="16" spans="1:12" x14ac:dyDescent="0.35">
      <c r="A16" s="366"/>
      <c r="B16" s="294" t="s">
        <v>96</v>
      </c>
      <c r="C16" s="269">
        <f>100*A2/25*0.143</f>
        <v>0</v>
      </c>
      <c r="D16" s="269">
        <f>100*A2/25*0.286</f>
        <v>0</v>
      </c>
      <c r="E16" s="269">
        <f>100*A2/25*0.429</f>
        <v>0</v>
      </c>
      <c r="F16" s="269">
        <f>100*A2/25*0.571</f>
        <v>0</v>
      </c>
      <c r="G16" s="269">
        <f>100*A2/25*0.714</f>
        <v>0</v>
      </c>
      <c r="H16" s="269">
        <f>100*A2/25*0.857</f>
        <v>0</v>
      </c>
      <c r="I16" s="270">
        <f>100*A2/25*1</f>
        <v>0</v>
      </c>
      <c r="L16" s="261"/>
    </row>
    <row r="17" spans="1:12" x14ac:dyDescent="0.35">
      <c r="A17" s="366"/>
      <c r="B17" s="286" t="s">
        <v>86</v>
      </c>
      <c r="C17" s="287">
        <f t="shared" ref="C17:I17" si="2">(C15*500/100)+(C16*380/100)</f>
        <v>0</v>
      </c>
      <c r="D17" s="287">
        <f t="shared" si="2"/>
        <v>0</v>
      </c>
      <c r="E17" s="287">
        <f t="shared" si="2"/>
        <v>0</v>
      </c>
      <c r="F17" s="287">
        <f t="shared" si="2"/>
        <v>0</v>
      </c>
      <c r="G17" s="287">
        <f t="shared" si="2"/>
        <v>0</v>
      </c>
      <c r="H17" s="287">
        <f t="shared" si="2"/>
        <v>0</v>
      </c>
      <c r="I17" s="287">
        <f t="shared" si="2"/>
        <v>0</v>
      </c>
      <c r="L17" s="261"/>
    </row>
    <row r="18" spans="1:12" ht="15" thickBot="1" x14ac:dyDescent="0.4">
      <c r="A18" s="367"/>
      <c r="B18" s="276" t="s">
        <v>48</v>
      </c>
      <c r="C18" s="284">
        <f t="shared" ref="C18:I18" si="3">C16*3.9/100</f>
        <v>0</v>
      </c>
      <c r="D18" s="284">
        <f t="shared" si="3"/>
        <v>0</v>
      </c>
      <c r="E18" s="284">
        <f t="shared" si="3"/>
        <v>0</v>
      </c>
      <c r="F18" s="284">
        <f t="shared" si="3"/>
        <v>0</v>
      </c>
      <c r="G18" s="284">
        <f t="shared" si="3"/>
        <v>0</v>
      </c>
      <c r="H18" s="284">
        <f t="shared" si="3"/>
        <v>0</v>
      </c>
      <c r="I18" s="284">
        <f t="shared" si="3"/>
        <v>0</v>
      </c>
      <c r="J18" s="274" t="s">
        <v>1</v>
      </c>
      <c r="L18" s="261"/>
    </row>
    <row r="19" spans="1:12" x14ac:dyDescent="0.35">
      <c r="A19" s="262"/>
      <c r="B19" s="274"/>
      <c r="C19" s="277"/>
      <c r="D19" s="277"/>
      <c r="E19" s="277"/>
      <c r="F19" s="277"/>
      <c r="G19" s="277"/>
      <c r="H19" s="277"/>
      <c r="I19" s="277"/>
      <c r="L19" s="261"/>
    </row>
    <row r="20" spans="1:12" ht="15" thickBot="1" x14ac:dyDescent="0.4">
      <c r="A20" s="262"/>
      <c r="L20" s="261"/>
    </row>
    <row r="21" spans="1:12" x14ac:dyDescent="0.35">
      <c r="A21" s="354" t="s">
        <v>84</v>
      </c>
      <c r="B21" s="357" t="s">
        <v>50</v>
      </c>
      <c r="C21" s="357"/>
      <c r="D21" s="357"/>
      <c r="E21" s="357"/>
      <c r="F21" s="358"/>
      <c r="L21" s="261"/>
    </row>
    <row r="22" spans="1:12" x14ac:dyDescent="0.35">
      <c r="A22" s="355"/>
      <c r="B22" s="278"/>
      <c r="C22" s="264" t="s">
        <v>38</v>
      </c>
      <c r="D22" s="264" t="s">
        <v>39</v>
      </c>
      <c r="E22" s="264" t="s">
        <v>40</v>
      </c>
      <c r="F22" s="265" t="s">
        <v>41</v>
      </c>
      <c r="L22" s="261"/>
    </row>
    <row r="23" spans="1:12" x14ac:dyDescent="0.35">
      <c r="A23" s="355"/>
      <c r="B23" s="288" t="s">
        <v>95</v>
      </c>
      <c r="C23" s="289">
        <f>100*A2/16.2*0.75</f>
        <v>0</v>
      </c>
      <c r="D23" s="289">
        <f>100*A2/16.2*0.5</f>
        <v>0</v>
      </c>
      <c r="E23" s="289">
        <f>100*A2/16.2*0.25</f>
        <v>0</v>
      </c>
      <c r="F23" s="290">
        <f>100/16.2*A2*0</f>
        <v>0</v>
      </c>
      <c r="L23" s="261"/>
    </row>
    <row r="24" spans="1:12" x14ac:dyDescent="0.35">
      <c r="A24" s="355"/>
      <c r="B24" s="294" t="s">
        <v>96</v>
      </c>
      <c r="C24" s="269">
        <f>100*A2/28*0.25</f>
        <v>0</v>
      </c>
      <c r="D24" s="269">
        <f>100*A2/28*0.5</f>
        <v>0</v>
      </c>
      <c r="E24" s="269">
        <f>100*A2/28*0.75</f>
        <v>0</v>
      </c>
      <c r="F24" s="270">
        <f>100*A2/28*1</f>
        <v>0</v>
      </c>
      <c r="L24" s="261"/>
    </row>
    <row r="25" spans="1:12" x14ac:dyDescent="0.35">
      <c r="A25" s="355"/>
      <c r="B25" s="286" t="s">
        <v>86</v>
      </c>
      <c r="C25" s="287">
        <f>(C23*500/100)+(C24*380/100)</f>
        <v>0</v>
      </c>
      <c r="D25" s="287">
        <f>(D23*500/100)+(D24*380/100)</f>
        <v>0</v>
      </c>
      <c r="E25" s="287">
        <f>(E23*500/100)+(E24*380/100)</f>
        <v>0</v>
      </c>
      <c r="F25" s="287">
        <f>(F23*500/100)+(F24*380/100)</f>
        <v>0</v>
      </c>
      <c r="L25" s="261"/>
    </row>
    <row r="26" spans="1:12" ht="15" thickBot="1" x14ac:dyDescent="0.4">
      <c r="A26" s="356"/>
      <c r="B26" s="276" t="s">
        <v>48</v>
      </c>
      <c r="C26" s="284">
        <f>C24*3.9/100</f>
        <v>0</v>
      </c>
      <c r="D26" s="284">
        <f>D24*3.9/100</f>
        <v>0</v>
      </c>
      <c r="E26" s="284">
        <f>E24*3.9/100</f>
        <v>0</v>
      </c>
      <c r="F26" s="284">
        <f>F24*3.9/100</f>
        <v>0</v>
      </c>
      <c r="L26" s="261"/>
    </row>
    <row r="27" spans="1:12" x14ac:dyDescent="0.35">
      <c r="A27" s="262"/>
      <c r="L27" s="261"/>
    </row>
    <row r="28" spans="1:12" ht="15" thickBot="1" x14ac:dyDescent="0.4">
      <c r="A28" s="27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50"/>
    </row>
    <row r="29" spans="1:12" ht="12" customHeight="1" x14ac:dyDescent="0.35"/>
    <row r="30" spans="1:12" x14ac:dyDescent="0.35">
      <c r="A30" t="s">
        <v>111</v>
      </c>
    </row>
    <row r="31" spans="1:12" ht="8.25" customHeight="1" x14ac:dyDescent="0.35">
      <c r="B31" s="372"/>
      <c r="C31" s="372"/>
      <c r="D31" s="372"/>
      <c r="E31" s="372"/>
      <c r="F31" s="372"/>
      <c r="G31" s="372"/>
      <c r="H31" s="372"/>
    </row>
    <row r="32" spans="1:12" x14ac:dyDescent="0.35">
      <c r="A32" s="246" t="s">
        <v>110</v>
      </c>
    </row>
    <row r="33" spans="1:1" x14ac:dyDescent="0.35">
      <c r="A33" s="280" t="s">
        <v>102</v>
      </c>
    </row>
  </sheetData>
  <sheetProtection algorithmName="SHA-512" hashValue="28NKtjdOPMqQdyN+JbbbrUBRsQ0FEpWAn8cVQH+9VgmSKRycwhDO3cxZREDUt6t3RR2jbi8kGnbE60tYtaUZcg==" saltValue="cLD/cRoHqWHiae/lGRbeOQ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B0E54-2519-4B23-AA03-B3F8D30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8A378-CAD0-40BE-AC16-E645F3553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E1470B-49D4-45D1-9B73-9AB6B2DFF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DRIs MSUD Anamix Early Yrs</vt:lpstr>
      <vt:lpstr>DRIs Complex MSD Essential</vt:lpstr>
      <vt:lpstr>Early Years to Essential</vt:lpstr>
      <vt:lpstr>Abbott Ketonex-1 to Early Yrs</vt:lpstr>
      <vt:lpstr>Abbott Ketonex-1 to Essential</vt:lpstr>
      <vt:lpstr>MJ BCAD-1 to Early Yrs</vt:lpstr>
      <vt:lpstr>MJ BCAD-1 to Essential</vt:lpstr>
    </vt:vector>
  </TitlesOfParts>
  <Company>The Dannon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Leuffgen Linda</dc:creator>
  <cp:lastModifiedBy>POWERS Rachel</cp:lastModifiedBy>
  <dcterms:created xsi:type="dcterms:W3CDTF">2015-03-31T16:54:07Z</dcterms:created>
  <dcterms:modified xsi:type="dcterms:W3CDTF">2023-02-10T16:49:03Z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